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ça\Desktop\Area de trabalho\Salvos\Desktop\Licitações Agenda\Novembro 20\Edital 10-2020\Edital 10_2020_Relançamento 2\Habilitação\Proposta\Proposta\Propostas e Planilhas Finais\Diligência 11.06\Dil 23\Dil 24\"/>
    </mc:Choice>
  </mc:AlternateContent>
  <xr:revisionPtr revIDLastSave="0" documentId="13_ncr:1_{30C1987D-D89B-44FD-B073-5642CBDE03EF}" xr6:coauthVersionLast="47" xr6:coauthVersionMax="47" xr10:uidLastSave="{00000000-0000-0000-0000-000000000000}"/>
  <bookViews>
    <workbookView xWindow="-108" yWindow="-108" windowWidth="23256" windowHeight="12576" tabRatio="602" activeTab="1" xr2:uid="{00000000-000D-0000-FFFF-FFFF00000000}"/>
  </bookViews>
  <sheets>
    <sheet name="Precificação Total Lote 9" sheetId="1" r:id="rId1"/>
    <sheet name="Precificação Lote 9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76" i="1" l="1"/>
  <c r="AH78" i="1"/>
  <c r="AG78" i="1"/>
  <c r="AH71" i="1"/>
  <c r="AG71" i="1"/>
  <c r="Z78" i="1"/>
  <c r="Z71" i="1"/>
  <c r="Y78" i="1"/>
  <c r="Y71" i="1"/>
  <c r="AE78" i="1"/>
  <c r="AE71" i="1"/>
  <c r="W22" i="1"/>
  <c r="K14" i="1" l="1"/>
  <c r="K13" i="1"/>
  <c r="G14" i="1"/>
  <c r="G13" i="1"/>
  <c r="AE65" i="1" l="1"/>
  <c r="AA65" i="1"/>
  <c r="W65" i="1"/>
  <c r="S65" i="1"/>
  <c r="O65" i="1"/>
  <c r="K65" i="1"/>
  <c r="G65" i="1"/>
  <c r="AE53" i="1"/>
  <c r="AA53" i="1"/>
  <c r="W53" i="1"/>
  <c r="S53" i="1"/>
  <c r="O53" i="1"/>
  <c r="K53" i="1"/>
  <c r="G53" i="1"/>
  <c r="AE40" i="1"/>
  <c r="AA40" i="1"/>
  <c r="W40" i="1"/>
  <c r="S40" i="1"/>
  <c r="O40" i="1"/>
  <c r="K40" i="1"/>
  <c r="G40" i="1"/>
  <c r="AE30" i="1"/>
  <c r="AA30" i="1"/>
  <c r="W30" i="1"/>
  <c r="S30" i="1"/>
  <c r="O30" i="1"/>
  <c r="K30" i="1"/>
  <c r="G30" i="1"/>
  <c r="AE14" i="1"/>
  <c r="AA14" i="1"/>
  <c r="W14" i="1"/>
  <c r="S14" i="1"/>
  <c r="O14" i="1"/>
  <c r="I6" i="2" l="1"/>
  <c r="N6" i="2"/>
  <c r="S6" i="2"/>
  <c r="X6" i="2"/>
  <c r="AC6" i="2"/>
  <c r="AH6" i="2"/>
  <c r="AE20" i="1" l="1"/>
  <c r="AA20" i="1"/>
  <c r="W20" i="1"/>
  <c r="S20" i="1"/>
  <c r="O20" i="1"/>
  <c r="K20" i="1"/>
  <c r="G20" i="1"/>
  <c r="AE17" i="1"/>
  <c r="AG17" i="1" s="1"/>
  <c r="AH17" i="1" s="1"/>
  <c r="AA17" i="1"/>
  <c r="W17" i="1"/>
  <c r="Y17" i="1" s="1"/>
  <c r="Z17" i="1" s="1"/>
  <c r="S17" i="1"/>
  <c r="U17" i="1" s="1"/>
  <c r="V17" i="1" s="1"/>
  <c r="O17" i="1"/>
  <c r="K17" i="1"/>
  <c r="G17" i="1"/>
  <c r="D6" i="2"/>
  <c r="AE68" i="1"/>
  <c r="AG68" i="1" s="1"/>
  <c r="AH68" i="1" s="1"/>
  <c r="AA68" i="1"/>
  <c r="AA69" i="1" s="1"/>
  <c r="W68" i="1"/>
  <c r="W69" i="1" s="1"/>
  <c r="S68" i="1"/>
  <c r="U68" i="1" s="1"/>
  <c r="V68" i="1" s="1"/>
  <c r="O68" i="1"/>
  <c r="O69" i="1" s="1"/>
  <c r="K68" i="1"/>
  <c r="M68" i="1" s="1"/>
  <c r="N68" i="1" s="1"/>
  <c r="G68" i="1"/>
  <c r="AE6" i="1"/>
  <c r="AE22" i="1"/>
  <c r="AE28" i="1" s="1"/>
  <c r="AG28" i="1" s="1"/>
  <c r="AH28" i="1" s="1"/>
  <c r="AE32" i="1"/>
  <c r="AE42" i="1"/>
  <c r="AE44" i="1"/>
  <c r="AG44" i="1" s="1"/>
  <c r="AH44" i="1" s="1"/>
  <c r="AE45" i="1"/>
  <c r="AE55" i="1"/>
  <c r="AE57" i="1"/>
  <c r="AA6" i="1"/>
  <c r="AA22" i="1"/>
  <c r="AA26" i="1" s="1"/>
  <c r="AC26" i="1" s="1"/>
  <c r="AD26" i="1" s="1"/>
  <c r="AA32" i="1"/>
  <c r="AA33" i="1" s="1"/>
  <c r="AA42" i="1"/>
  <c r="AA44" i="1"/>
  <c r="AA46" i="1" s="1"/>
  <c r="AC46" i="1" s="1"/>
  <c r="AD46" i="1" s="1"/>
  <c r="AA45" i="1"/>
  <c r="AA55" i="1"/>
  <c r="AA61" i="1" s="1"/>
  <c r="AC61" i="1" s="1"/>
  <c r="AD61" i="1" s="1"/>
  <c r="AA57" i="1"/>
  <c r="W6" i="1"/>
  <c r="Y24" i="1"/>
  <c r="Z24" i="1" s="1"/>
  <c r="W32" i="1"/>
  <c r="W42" i="1"/>
  <c r="W44" i="1"/>
  <c r="W48" i="1" s="1"/>
  <c r="W45" i="1"/>
  <c r="W55" i="1"/>
  <c r="W60" i="1" s="1"/>
  <c r="W57" i="1"/>
  <c r="S6" i="1"/>
  <c r="S22" i="1"/>
  <c r="S25" i="1" s="1"/>
  <c r="U25" i="1" s="1"/>
  <c r="V25" i="1" s="1"/>
  <c r="S32" i="1"/>
  <c r="S33" i="1" s="1"/>
  <c r="S42" i="1"/>
  <c r="S44" i="1"/>
  <c r="S46" i="1" s="1"/>
  <c r="U46" i="1" s="1"/>
  <c r="V46" i="1" s="1"/>
  <c r="S45" i="1"/>
  <c r="S55" i="1"/>
  <c r="S62" i="1" s="1"/>
  <c r="U62" i="1" s="1"/>
  <c r="V62" i="1" s="1"/>
  <c r="S57" i="1"/>
  <c r="O6" i="1"/>
  <c r="O22" i="1"/>
  <c r="O28" i="1" s="1"/>
  <c r="Q28" i="1" s="1"/>
  <c r="R28" i="1" s="1"/>
  <c r="O32" i="1"/>
  <c r="O42" i="1"/>
  <c r="O44" i="1"/>
  <c r="O49" i="1" s="1"/>
  <c r="O45" i="1"/>
  <c r="O55" i="1"/>
  <c r="O61" i="1" s="1"/>
  <c r="O57" i="1"/>
  <c r="K6" i="1"/>
  <c r="K22" i="1"/>
  <c r="K26" i="1" s="1"/>
  <c r="M26" i="1" s="1"/>
  <c r="N26" i="1" s="1"/>
  <c r="K32" i="1"/>
  <c r="K33" i="1" s="1"/>
  <c r="K42" i="1"/>
  <c r="K44" i="1"/>
  <c r="K46" i="1" s="1"/>
  <c r="K45" i="1"/>
  <c r="K55" i="1"/>
  <c r="K64" i="1" s="1"/>
  <c r="M64" i="1" s="1"/>
  <c r="K57" i="1"/>
  <c r="G6" i="1"/>
  <c r="G22" i="1"/>
  <c r="I24" i="1" s="1"/>
  <c r="G32" i="1"/>
  <c r="G42" i="1"/>
  <c r="G44" i="1"/>
  <c r="G50" i="1" s="1"/>
  <c r="G45" i="1"/>
  <c r="G55" i="1"/>
  <c r="G63" i="1" s="1"/>
  <c r="G57" i="1"/>
  <c r="S16" i="1"/>
  <c r="U16" i="1" s="1"/>
  <c r="V16" i="1" s="1"/>
  <c r="S18" i="1"/>
  <c r="U18" i="1" s="1"/>
  <c r="V18" i="1" s="1"/>
  <c r="S19" i="1"/>
  <c r="U19" i="1" s="1"/>
  <c r="V19" i="1" s="1"/>
  <c r="O16" i="1"/>
  <c r="Q16" i="1" s="1"/>
  <c r="R16" i="1" s="1"/>
  <c r="O18" i="1"/>
  <c r="Q18" i="1" s="1"/>
  <c r="R18" i="1" s="1"/>
  <c r="O19" i="1"/>
  <c r="O56" i="1"/>
  <c r="O60" i="1"/>
  <c r="O62" i="1"/>
  <c r="O63" i="1"/>
  <c r="Q63" i="1" s="1"/>
  <c r="R63" i="1" s="1"/>
  <c r="S56" i="1"/>
  <c r="U56" i="1" s="1"/>
  <c r="V56" i="1" s="1"/>
  <c r="S60" i="1"/>
  <c r="S61" i="1"/>
  <c r="S63" i="1"/>
  <c r="S64" i="1"/>
  <c r="U64" i="1" s="1"/>
  <c r="V64" i="1" s="1"/>
  <c r="G56" i="1"/>
  <c r="G61" i="1"/>
  <c r="I61" i="1" s="1"/>
  <c r="J61" i="1" s="1"/>
  <c r="G62" i="1"/>
  <c r="G64" i="1"/>
  <c r="K56" i="1"/>
  <c r="M56" i="1" s="1"/>
  <c r="K60" i="1"/>
  <c r="K62" i="1"/>
  <c r="K63" i="1"/>
  <c r="W56" i="1"/>
  <c r="W61" i="1"/>
  <c r="W62" i="1"/>
  <c r="W63" i="1"/>
  <c r="Y63" i="1" s="1"/>
  <c r="Z63" i="1" s="1"/>
  <c r="W64" i="1"/>
  <c r="AA56" i="1"/>
  <c r="AA60" i="1"/>
  <c r="AC60" i="1" s="1"/>
  <c r="AD60" i="1" s="1"/>
  <c r="AA62" i="1"/>
  <c r="AC62" i="1" s="1"/>
  <c r="AD62" i="1" s="1"/>
  <c r="AA63" i="1"/>
  <c r="AA64" i="1"/>
  <c r="AE56" i="1"/>
  <c r="AG56" i="1" s="1"/>
  <c r="AH56" i="1" s="1"/>
  <c r="AE60" i="1"/>
  <c r="AE61" i="1"/>
  <c r="AG61" i="1" s="1"/>
  <c r="AH61" i="1" s="1"/>
  <c r="AE63" i="1"/>
  <c r="AE64" i="1"/>
  <c r="O48" i="1"/>
  <c r="O51" i="1"/>
  <c r="Q51" i="1" s="1"/>
  <c r="R51" i="1" s="1"/>
  <c r="S50" i="1"/>
  <c r="U50" i="1" s="1"/>
  <c r="V50" i="1" s="1"/>
  <c r="G16" i="1"/>
  <c r="I16" i="1" s="1"/>
  <c r="G18" i="1"/>
  <c r="I18" i="1" s="1"/>
  <c r="J18" i="1" s="1"/>
  <c r="G19" i="1"/>
  <c r="I19" i="1" s="1"/>
  <c r="J19" i="1" s="1"/>
  <c r="G49" i="1"/>
  <c r="G52" i="1"/>
  <c r="I52" i="1" s="1"/>
  <c r="K16" i="1"/>
  <c r="M16" i="1" s="1"/>
  <c r="N16" i="1" s="1"/>
  <c r="K18" i="1"/>
  <c r="M18" i="1" s="1"/>
  <c r="N18" i="1" s="1"/>
  <c r="K19" i="1"/>
  <c r="K48" i="1"/>
  <c r="M48" i="1" s="1"/>
  <c r="K51" i="1"/>
  <c r="M51" i="1" s="1"/>
  <c r="Y16" i="1"/>
  <c r="Z16" i="1" s="1"/>
  <c r="Y18" i="1"/>
  <c r="Z18" i="1" s="1"/>
  <c r="Y19" i="1"/>
  <c r="Z19" i="1" s="1"/>
  <c r="W50" i="1"/>
  <c r="Y50" i="1" s="1"/>
  <c r="Z50" i="1" s="1"/>
  <c r="W52" i="1"/>
  <c r="Y52" i="1" s="1"/>
  <c r="Z52" i="1" s="1"/>
  <c r="AC18" i="1"/>
  <c r="AD18" i="1" s="1"/>
  <c r="AC19" i="1"/>
  <c r="AD19" i="1" s="1"/>
  <c r="AA49" i="1"/>
  <c r="AA51" i="1"/>
  <c r="AC51" i="1" s="1"/>
  <c r="AD51" i="1" s="1"/>
  <c r="AG18" i="1"/>
  <c r="AH18" i="1" s="1"/>
  <c r="AE48" i="1"/>
  <c r="AG48" i="1" s="1"/>
  <c r="AH48" i="1" s="1"/>
  <c r="AE50" i="1"/>
  <c r="G69" i="1"/>
  <c r="G35" i="1"/>
  <c r="I35" i="1" s="1"/>
  <c r="G36" i="1"/>
  <c r="G37" i="1"/>
  <c r="I37" i="1" s="1"/>
  <c r="J37" i="1" s="1"/>
  <c r="G38" i="1"/>
  <c r="I38" i="1" s="1"/>
  <c r="J38" i="1" s="1"/>
  <c r="G39" i="1"/>
  <c r="K35" i="1"/>
  <c r="K36" i="1"/>
  <c r="K37" i="1"/>
  <c r="M37" i="1" s="1"/>
  <c r="N37" i="1" s="1"/>
  <c r="K38" i="1"/>
  <c r="K39" i="1"/>
  <c r="Q34" i="1"/>
  <c r="R34" i="1" s="1"/>
  <c r="O35" i="1"/>
  <c r="O36" i="1"/>
  <c r="O37" i="1"/>
  <c r="O38" i="1"/>
  <c r="O39" i="1"/>
  <c r="S35" i="1"/>
  <c r="S36" i="1"/>
  <c r="U36" i="1" s="1"/>
  <c r="V36" i="1" s="1"/>
  <c r="S37" i="1"/>
  <c r="S38" i="1"/>
  <c r="S39" i="1"/>
  <c r="W35" i="1"/>
  <c r="Y35" i="1" s="1"/>
  <c r="Z35" i="1" s="1"/>
  <c r="W36" i="1"/>
  <c r="W37" i="1"/>
  <c r="W38" i="1"/>
  <c r="Y38" i="1" s="1"/>
  <c r="Z38" i="1" s="1"/>
  <c r="W39" i="1"/>
  <c r="AA35" i="1"/>
  <c r="AA36" i="1"/>
  <c r="AA37" i="1"/>
  <c r="AC37" i="1" s="1"/>
  <c r="AD37" i="1" s="1"/>
  <c r="AA38" i="1"/>
  <c r="AA39" i="1"/>
  <c r="AG34" i="1"/>
  <c r="AH34" i="1" s="1"/>
  <c r="AE35" i="1"/>
  <c r="AE36" i="1"/>
  <c r="AE37" i="1"/>
  <c r="AE38" i="1"/>
  <c r="AE39" i="1"/>
  <c r="AG39" i="1" s="1"/>
  <c r="AH39" i="1" s="1"/>
  <c r="G26" i="1"/>
  <c r="I26" i="1" s="1"/>
  <c r="J26" i="1" s="1"/>
  <c r="G28" i="1"/>
  <c r="I28" i="1" s="1"/>
  <c r="J28" i="1" s="1"/>
  <c r="K25" i="1"/>
  <c r="M25" i="1" s="1"/>
  <c r="N25" i="1" s="1"/>
  <c r="K28" i="1"/>
  <c r="Q24" i="1"/>
  <c r="R24" i="1" s="1"/>
  <c r="O27" i="1"/>
  <c r="U24" i="1"/>
  <c r="V24" i="1" s="1"/>
  <c r="S26" i="1"/>
  <c r="U26" i="1" s="1"/>
  <c r="V26" i="1" s="1"/>
  <c r="S29" i="1"/>
  <c r="U29" i="1" s="1"/>
  <c r="V29" i="1" s="1"/>
  <c r="W26" i="1"/>
  <c r="Y26" i="1" s="1"/>
  <c r="Z26" i="1" s="1"/>
  <c r="W28" i="1"/>
  <c r="Y28" i="1" s="1"/>
  <c r="Z28" i="1" s="1"/>
  <c r="AA25" i="1"/>
  <c r="AC25" i="1" s="1"/>
  <c r="AD25" i="1" s="1"/>
  <c r="AA28" i="1"/>
  <c r="AC28" i="1" s="1"/>
  <c r="AD28" i="1" s="1"/>
  <c r="AE27" i="1"/>
  <c r="AG27" i="1" s="1"/>
  <c r="AH27" i="1" s="1"/>
  <c r="I8" i="1"/>
  <c r="G9" i="1"/>
  <c r="G10" i="1"/>
  <c r="I10" i="1" s="1"/>
  <c r="J10" i="1" s="1"/>
  <c r="G11" i="1"/>
  <c r="G12" i="1"/>
  <c r="K9" i="1"/>
  <c r="M9" i="1" s="1"/>
  <c r="N9" i="1" s="1"/>
  <c r="K10" i="1"/>
  <c r="K11" i="1"/>
  <c r="K12" i="1"/>
  <c r="M14" i="1"/>
  <c r="N14" i="1" s="1"/>
  <c r="O9" i="1"/>
  <c r="O10" i="1"/>
  <c r="Q10" i="1" s="1"/>
  <c r="R10" i="1" s="1"/>
  <c r="O11" i="1"/>
  <c r="O12" i="1"/>
  <c r="O13" i="1"/>
  <c r="U8" i="1"/>
  <c r="V8" i="1" s="1"/>
  <c r="S9" i="1"/>
  <c r="S10" i="1"/>
  <c r="S11" i="1"/>
  <c r="U11" i="1" s="1"/>
  <c r="V11" i="1" s="1"/>
  <c r="S12" i="1"/>
  <c r="S13" i="1"/>
  <c r="U13" i="1" s="1"/>
  <c r="V13" i="1" s="1"/>
  <c r="W9" i="1"/>
  <c r="Y9" i="1" s="1"/>
  <c r="Z9" i="1" s="1"/>
  <c r="W10" i="1"/>
  <c r="W11" i="1"/>
  <c r="W12" i="1"/>
  <c r="Y12" i="1" s="1"/>
  <c r="Z12" i="1" s="1"/>
  <c r="W13" i="1"/>
  <c r="Y14" i="1"/>
  <c r="Z14" i="1" s="1"/>
  <c r="AA9" i="1"/>
  <c r="AA10" i="1"/>
  <c r="AC10" i="1" s="1"/>
  <c r="AD10" i="1" s="1"/>
  <c r="AA11" i="1"/>
  <c r="AA12" i="1"/>
  <c r="AA13" i="1"/>
  <c r="AC13" i="1" s="1"/>
  <c r="AD13" i="1" s="1"/>
  <c r="AG8" i="1"/>
  <c r="AH8" i="1" s="1"/>
  <c r="AE9" i="1"/>
  <c r="AG9" i="1" s="1"/>
  <c r="AH9" i="1" s="1"/>
  <c r="AE10" i="1"/>
  <c r="AE11" i="1"/>
  <c r="AG11" i="1" s="1"/>
  <c r="AH11" i="1" s="1"/>
  <c r="AE12" i="1"/>
  <c r="AE13" i="1"/>
  <c r="AG14" i="1"/>
  <c r="AH14" i="1" s="1"/>
  <c r="M60" i="1"/>
  <c r="U60" i="1"/>
  <c r="V60" i="1" s="1"/>
  <c r="AG60" i="1"/>
  <c r="AH60" i="1" s="1"/>
  <c r="U61" i="1"/>
  <c r="V61" i="1" s="1"/>
  <c r="M62" i="1"/>
  <c r="N62" i="1" s="1"/>
  <c r="Q62" i="1"/>
  <c r="R62" i="1" s="1"/>
  <c r="Y62" i="1"/>
  <c r="Z62" i="1" s="1"/>
  <c r="M63" i="1"/>
  <c r="N63" i="1" s="1"/>
  <c r="U63" i="1"/>
  <c r="V63" i="1" s="1"/>
  <c r="AC63" i="1"/>
  <c r="AD63" i="1" s="1"/>
  <c r="AC49" i="1"/>
  <c r="AD49" i="1" s="1"/>
  <c r="M35" i="1"/>
  <c r="N35" i="1" s="1"/>
  <c r="Q35" i="1"/>
  <c r="R35" i="1" s="1"/>
  <c r="U35" i="1"/>
  <c r="V35" i="1" s="1"/>
  <c r="AC35" i="1"/>
  <c r="AD35" i="1" s="1"/>
  <c r="AG35" i="1"/>
  <c r="AH35" i="1" s="1"/>
  <c r="I36" i="1"/>
  <c r="J36" i="1" s="1"/>
  <c r="M36" i="1"/>
  <c r="N36" i="1" s="1"/>
  <c r="Q36" i="1"/>
  <c r="R36" i="1" s="1"/>
  <c r="Y36" i="1"/>
  <c r="Z36" i="1" s="1"/>
  <c r="AC36" i="1"/>
  <c r="AD36" i="1" s="1"/>
  <c r="AG36" i="1"/>
  <c r="AH36" i="1" s="1"/>
  <c r="Q37" i="1"/>
  <c r="R37" i="1" s="1"/>
  <c r="U37" i="1"/>
  <c r="V37" i="1" s="1"/>
  <c r="Y37" i="1"/>
  <c r="Z37" i="1" s="1"/>
  <c r="AG37" i="1"/>
  <c r="AH37" i="1" s="1"/>
  <c r="M38" i="1"/>
  <c r="N38" i="1" s="1"/>
  <c r="Q38" i="1"/>
  <c r="R38" i="1" s="1"/>
  <c r="U38" i="1"/>
  <c r="V38" i="1" s="1"/>
  <c r="AC38" i="1"/>
  <c r="AD38" i="1" s="1"/>
  <c r="AG38" i="1"/>
  <c r="AH38" i="1" s="1"/>
  <c r="Q27" i="1"/>
  <c r="R27" i="1" s="1"/>
  <c r="M28" i="1"/>
  <c r="N28" i="1" s="1"/>
  <c r="Q9" i="1"/>
  <c r="R9" i="1" s="1"/>
  <c r="U9" i="1"/>
  <c r="V9" i="1" s="1"/>
  <c r="AC9" i="1"/>
  <c r="AD9" i="1" s="1"/>
  <c r="I9" i="1"/>
  <c r="J9" i="1" s="1"/>
  <c r="M10" i="1"/>
  <c r="N10" i="1" s="1"/>
  <c r="U10" i="1"/>
  <c r="V10" i="1" s="1"/>
  <c r="Y10" i="1"/>
  <c r="Z10" i="1" s="1"/>
  <c r="AG10" i="1"/>
  <c r="AH10" i="1" s="1"/>
  <c r="M11" i="1"/>
  <c r="N11" i="1" s="1"/>
  <c r="Q11" i="1"/>
  <c r="R11" i="1" s="1"/>
  <c r="Y11" i="1"/>
  <c r="Z11" i="1" s="1"/>
  <c r="AC11" i="1"/>
  <c r="AD11" i="1" s="1"/>
  <c r="I11" i="1"/>
  <c r="J11" i="1" s="1"/>
  <c r="M12" i="1"/>
  <c r="N12" i="1" s="1"/>
  <c r="Q12" i="1"/>
  <c r="R12" i="1" s="1"/>
  <c r="U12" i="1"/>
  <c r="V12" i="1" s="1"/>
  <c r="AC12" i="1"/>
  <c r="AD12" i="1" s="1"/>
  <c r="AG12" i="1"/>
  <c r="AH12" i="1" s="1"/>
  <c r="I12" i="1"/>
  <c r="J12" i="1" s="1"/>
  <c r="Y13" i="1"/>
  <c r="Z13" i="1" s="1"/>
  <c r="AM4" i="2"/>
  <c r="AM5" i="2"/>
  <c r="I44" i="1"/>
  <c r="J44" i="1" s="1"/>
  <c r="Q44" i="1"/>
  <c r="R44" i="1" s="1"/>
  <c r="AC44" i="1"/>
  <c r="AD44" i="1" s="1"/>
  <c r="I45" i="1"/>
  <c r="J45" i="1" s="1"/>
  <c r="M45" i="1"/>
  <c r="N45" i="1" s="1"/>
  <c r="Q45" i="1"/>
  <c r="R45" i="1" s="1"/>
  <c r="U45" i="1"/>
  <c r="V45" i="1" s="1"/>
  <c r="Y45" i="1"/>
  <c r="Z45" i="1" s="1"/>
  <c r="AC45" i="1"/>
  <c r="AD45" i="1" s="1"/>
  <c r="AG45" i="1"/>
  <c r="AH45" i="1" s="1"/>
  <c r="M46" i="1"/>
  <c r="N46" i="1" s="1"/>
  <c r="I13" i="1"/>
  <c r="J13" i="1" s="1"/>
  <c r="I14" i="1"/>
  <c r="J14" i="1" s="1"/>
  <c r="I17" i="1"/>
  <c r="J17" i="1" s="1"/>
  <c r="I20" i="1"/>
  <c r="I32" i="1"/>
  <c r="I34" i="1"/>
  <c r="J34" i="1" s="1"/>
  <c r="I39" i="1"/>
  <c r="J39" i="1" s="1"/>
  <c r="I42" i="1"/>
  <c r="J42" i="1" s="1"/>
  <c r="I55" i="1"/>
  <c r="I56" i="1"/>
  <c r="J56" i="1" s="1"/>
  <c r="I57" i="1"/>
  <c r="J57" i="1" s="1"/>
  <c r="I64" i="1"/>
  <c r="J64" i="1" s="1"/>
  <c r="I68" i="1"/>
  <c r="J68" i="1" s="1"/>
  <c r="Q68" i="1"/>
  <c r="R68" i="1" s="1"/>
  <c r="AC68" i="1"/>
  <c r="AD68" i="1" s="1"/>
  <c r="Y64" i="1"/>
  <c r="Z64" i="1" s="1"/>
  <c r="AC64" i="1"/>
  <c r="AD64" i="1" s="1"/>
  <c r="AG64" i="1"/>
  <c r="AH64" i="1" s="1"/>
  <c r="M57" i="1"/>
  <c r="N57" i="1" s="1"/>
  <c r="Q57" i="1"/>
  <c r="R57" i="1" s="1"/>
  <c r="U57" i="1"/>
  <c r="V57" i="1" s="1"/>
  <c r="Y57" i="1"/>
  <c r="Z57" i="1" s="1"/>
  <c r="AC57" i="1"/>
  <c r="AD57" i="1" s="1"/>
  <c r="AG57" i="1"/>
  <c r="AH57" i="1" s="1"/>
  <c r="Q56" i="1"/>
  <c r="R56" i="1" s="1"/>
  <c r="Y56" i="1"/>
  <c r="Z56" i="1" s="1"/>
  <c r="AC56" i="1"/>
  <c r="AD56" i="1" s="1"/>
  <c r="M55" i="1"/>
  <c r="N55" i="1" s="1"/>
  <c r="Q55" i="1"/>
  <c r="R55" i="1"/>
  <c r="U55" i="1"/>
  <c r="V55" i="1" s="1"/>
  <c r="Y55" i="1"/>
  <c r="Z55" i="1" s="1"/>
  <c r="AC55" i="1"/>
  <c r="AD55" i="1" s="1"/>
  <c r="AG55" i="1"/>
  <c r="AH55" i="1" s="1"/>
  <c r="M42" i="1"/>
  <c r="N42" i="1" s="1"/>
  <c r="Q42" i="1"/>
  <c r="R42" i="1" s="1"/>
  <c r="U42" i="1"/>
  <c r="V42" i="1" s="1"/>
  <c r="Y42" i="1"/>
  <c r="Z42" i="1" s="1"/>
  <c r="AC42" i="1"/>
  <c r="AD42" i="1" s="1"/>
  <c r="AG42" i="1"/>
  <c r="AH42" i="1" s="1"/>
  <c r="M39" i="1"/>
  <c r="N39" i="1" s="1"/>
  <c r="Q39" i="1"/>
  <c r="R39" i="1" s="1"/>
  <c r="U39" i="1"/>
  <c r="V39" i="1" s="1"/>
  <c r="Y39" i="1"/>
  <c r="Z39" i="1" s="1"/>
  <c r="AC39" i="1"/>
  <c r="AD39" i="1" s="1"/>
  <c r="M34" i="1"/>
  <c r="N34" i="1" s="1"/>
  <c r="U34" i="1"/>
  <c r="V34" i="1" s="1"/>
  <c r="Y34" i="1"/>
  <c r="Z34" i="1" s="1"/>
  <c r="AC34" i="1"/>
  <c r="AD34" i="1" s="1"/>
  <c r="M33" i="1"/>
  <c r="N33" i="1" s="1"/>
  <c r="U33" i="1"/>
  <c r="V33" i="1" s="1"/>
  <c r="AC33" i="1"/>
  <c r="AD33" i="1" s="1"/>
  <c r="J32" i="1"/>
  <c r="M32" i="1"/>
  <c r="N32" i="1" s="1"/>
  <c r="Q32" i="1"/>
  <c r="R32" i="1" s="1"/>
  <c r="U32" i="1"/>
  <c r="V32" i="1" s="1"/>
  <c r="Y32" i="1"/>
  <c r="Z32" i="1" s="1"/>
  <c r="AC32" i="1"/>
  <c r="AD32" i="1" s="1"/>
  <c r="AG32" i="1"/>
  <c r="AH32" i="1" s="1"/>
  <c r="AG24" i="1"/>
  <c r="AH24" i="1" s="1"/>
  <c r="M22" i="1"/>
  <c r="N22" i="1" s="1"/>
  <c r="Q22" i="1"/>
  <c r="R22" i="1" s="1"/>
  <c r="U22" i="1"/>
  <c r="V22" i="1" s="1"/>
  <c r="Y22" i="1"/>
  <c r="Z22" i="1" s="1"/>
  <c r="AC22" i="1"/>
  <c r="AD22" i="1" s="1"/>
  <c r="AG22" i="1"/>
  <c r="AH22" i="1" s="1"/>
  <c r="M20" i="1"/>
  <c r="N20" i="1" s="1"/>
  <c r="Q20" i="1"/>
  <c r="R20" i="1" s="1"/>
  <c r="U20" i="1"/>
  <c r="V20" i="1" s="1"/>
  <c r="Y20" i="1"/>
  <c r="Z20" i="1" s="1"/>
  <c r="AC20" i="1"/>
  <c r="AD20" i="1" s="1"/>
  <c r="AG20" i="1"/>
  <c r="AH20" i="1" s="1"/>
  <c r="M19" i="1"/>
  <c r="N19" i="1" s="1"/>
  <c r="Q19" i="1"/>
  <c r="R19" i="1" s="1"/>
  <c r="AG19" i="1"/>
  <c r="AH19" i="1" s="1"/>
  <c r="M17" i="1"/>
  <c r="N17" i="1" s="1"/>
  <c r="Q17" i="1"/>
  <c r="R17" i="1" s="1"/>
  <c r="AC17" i="1"/>
  <c r="AD17" i="1" s="1"/>
  <c r="AC16" i="1"/>
  <c r="AD16" i="1" s="1"/>
  <c r="AG16" i="1"/>
  <c r="AH16" i="1" s="1"/>
  <c r="Q14" i="1"/>
  <c r="R14" i="1" s="1"/>
  <c r="U14" i="1"/>
  <c r="V14" i="1" s="1"/>
  <c r="AC14" i="1"/>
  <c r="AD14" i="1" s="1"/>
  <c r="M13" i="1"/>
  <c r="N13" i="1" s="1"/>
  <c r="Q13" i="1"/>
  <c r="R13" i="1" s="1"/>
  <c r="AG13" i="1"/>
  <c r="AH13" i="1" s="1"/>
  <c r="M8" i="1"/>
  <c r="N8" i="1" s="1"/>
  <c r="Q8" i="1"/>
  <c r="R8" i="1" s="1"/>
  <c r="Y8" i="1"/>
  <c r="Z8" i="1" s="1"/>
  <c r="AC8" i="1"/>
  <c r="AD8" i="1" s="1"/>
  <c r="I6" i="1"/>
  <c r="J6" i="1" s="1"/>
  <c r="Q6" i="1"/>
  <c r="R6" i="1" s="1"/>
  <c r="M6" i="1"/>
  <c r="N6" i="1" s="1"/>
  <c r="U6" i="1"/>
  <c r="V6" i="1" s="1"/>
  <c r="Y6" i="1"/>
  <c r="Z6" i="1" s="1"/>
  <c r="AC6" i="1"/>
  <c r="AD6" i="1" s="1"/>
  <c r="AG6" i="1"/>
  <c r="AH6" i="1" s="1"/>
  <c r="AI4" i="1"/>
  <c r="AM6" i="2" l="1"/>
  <c r="S69" i="1"/>
  <c r="U69" i="1" s="1"/>
  <c r="K69" i="1"/>
  <c r="M69" i="1" s="1"/>
  <c r="AI20" i="1"/>
  <c r="AJ20" i="1" s="1"/>
  <c r="AI55" i="1"/>
  <c r="AJ55" i="1" s="1"/>
  <c r="AE69" i="1"/>
  <c r="AG69" i="1" s="1"/>
  <c r="AH69" i="1" s="1"/>
  <c r="J24" i="1"/>
  <c r="J8" i="1"/>
  <c r="AI8" i="1"/>
  <c r="AJ8" i="1" s="1"/>
  <c r="J35" i="1"/>
  <c r="AI35" i="1"/>
  <c r="AJ35" i="1" s="1"/>
  <c r="AI16" i="1"/>
  <c r="AJ16" i="1" s="1"/>
  <c r="J16" i="1"/>
  <c r="N56" i="1"/>
  <c r="AI56" i="1"/>
  <c r="AJ56" i="1" s="1"/>
  <c r="N64" i="1"/>
  <c r="J52" i="1"/>
  <c r="J20" i="1"/>
  <c r="AI32" i="1"/>
  <c r="AJ32" i="1" s="1"/>
  <c r="Y68" i="1"/>
  <c r="Z68" i="1" s="1"/>
  <c r="Y44" i="1"/>
  <c r="Z44" i="1" s="1"/>
  <c r="AE26" i="1"/>
  <c r="AG26" i="1" s="1"/>
  <c r="AH26" i="1" s="1"/>
  <c r="AC24" i="1"/>
  <c r="AD24" i="1" s="1"/>
  <c r="S28" i="1"/>
  <c r="U28" i="1" s="1"/>
  <c r="V28" i="1" s="1"/>
  <c r="O26" i="1"/>
  <c r="Q26" i="1" s="1"/>
  <c r="R26" i="1" s="1"/>
  <c r="M24" i="1"/>
  <c r="N24" i="1" s="1"/>
  <c r="AE52" i="1"/>
  <c r="AG52" i="1" s="1"/>
  <c r="AH52" i="1" s="1"/>
  <c r="G48" i="1"/>
  <c r="I48" i="1" s="1"/>
  <c r="J48" i="1" s="1"/>
  <c r="S49" i="1"/>
  <c r="U49" i="1" s="1"/>
  <c r="V49" i="1" s="1"/>
  <c r="AI57" i="1"/>
  <c r="AJ57" i="1" s="1"/>
  <c r="AI34" i="1"/>
  <c r="AJ34" i="1" s="1"/>
  <c r="AI39" i="1"/>
  <c r="AJ39" i="1" s="1"/>
  <c r="U44" i="1"/>
  <c r="V44" i="1" s="1"/>
  <c r="AE25" i="1"/>
  <c r="AG25" i="1" s="1"/>
  <c r="AH25" i="1" s="1"/>
  <c r="W29" i="1"/>
  <c r="Y29" i="1" s="1"/>
  <c r="Z29" i="1" s="1"/>
  <c r="S27" i="1"/>
  <c r="U27" i="1" s="1"/>
  <c r="V27" i="1" s="1"/>
  <c r="O25" i="1"/>
  <c r="Q25" i="1" s="1"/>
  <c r="R25" i="1" s="1"/>
  <c r="G29" i="1"/>
  <c r="I29" i="1" s="1"/>
  <c r="AE51" i="1"/>
  <c r="AG51" i="1" s="1"/>
  <c r="AH51" i="1" s="1"/>
  <c r="AA52" i="1"/>
  <c r="AC52" i="1" s="1"/>
  <c r="AD52" i="1" s="1"/>
  <c r="S48" i="1"/>
  <c r="U48" i="1" s="1"/>
  <c r="V48" i="1" s="1"/>
  <c r="K61" i="1"/>
  <c r="M61" i="1" s="1"/>
  <c r="N61" i="1" s="1"/>
  <c r="G60" i="1"/>
  <c r="I60" i="1" s="1"/>
  <c r="J60" i="1" s="1"/>
  <c r="AI17" i="1"/>
  <c r="AJ17" i="1" s="1"/>
  <c r="AI42" i="1"/>
  <c r="AJ42" i="1" s="1"/>
  <c r="I22" i="1"/>
  <c r="M44" i="1"/>
  <c r="N44" i="1" s="1"/>
  <c r="AA29" i="1"/>
  <c r="AC29" i="1" s="1"/>
  <c r="AD29" i="1" s="1"/>
  <c r="W27" i="1"/>
  <c r="Y27" i="1" s="1"/>
  <c r="Z27" i="1" s="1"/>
  <c r="K29" i="1"/>
  <c r="M29" i="1" s="1"/>
  <c r="N29" i="1" s="1"/>
  <c r="G27" i="1"/>
  <c r="I27" i="1" s="1"/>
  <c r="J27" i="1" s="1"/>
  <c r="AE49" i="1"/>
  <c r="AA50" i="1"/>
  <c r="AC50" i="1" s="1"/>
  <c r="AD50" i="1" s="1"/>
  <c r="W51" i="1"/>
  <c r="K52" i="1"/>
  <c r="M52" i="1" s="1"/>
  <c r="N52" i="1" s="1"/>
  <c r="O52" i="1"/>
  <c r="Q52" i="1" s="1"/>
  <c r="R52" i="1" s="1"/>
  <c r="AE62" i="1"/>
  <c r="O64" i="1"/>
  <c r="Q64" i="1" s="1"/>
  <c r="R64" i="1" s="1"/>
  <c r="J55" i="1"/>
  <c r="AE29" i="1"/>
  <c r="AG29" i="1" s="1"/>
  <c r="AH29" i="1" s="1"/>
  <c r="AA27" i="1"/>
  <c r="AC27" i="1" s="1"/>
  <c r="AD27" i="1" s="1"/>
  <c r="W25" i="1"/>
  <c r="Y25" i="1" s="1"/>
  <c r="Z25" i="1" s="1"/>
  <c r="O29" i="1"/>
  <c r="Q29" i="1" s="1"/>
  <c r="R29" i="1" s="1"/>
  <c r="K27" i="1"/>
  <c r="M27" i="1" s="1"/>
  <c r="N27" i="1" s="1"/>
  <c r="G25" i="1"/>
  <c r="I25" i="1" s="1"/>
  <c r="J25" i="1" s="1"/>
  <c r="AA48" i="1"/>
  <c r="AC48" i="1" s="1"/>
  <c r="AD48" i="1" s="1"/>
  <c r="W49" i="1"/>
  <c r="Y49" i="1" s="1"/>
  <c r="Z49" i="1" s="1"/>
  <c r="K50" i="1"/>
  <c r="M50" i="1" s="1"/>
  <c r="N50" i="1" s="1"/>
  <c r="G51" i="1"/>
  <c r="I51" i="1" s="1"/>
  <c r="J51" i="1" s="1"/>
  <c r="S52" i="1"/>
  <c r="U52" i="1" s="1"/>
  <c r="V52" i="1" s="1"/>
  <c r="O50" i="1"/>
  <c r="Q50" i="1" s="1"/>
  <c r="R50" i="1" s="1"/>
  <c r="K49" i="1"/>
  <c r="M49" i="1" s="1"/>
  <c r="N49" i="1" s="1"/>
  <c r="S51" i="1"/>
  <c r="U51" i="1" s="1"/>
  <c r="V51" i="1" s="1"/>
  <c r="AI13" i="1"/>
  <c r="AJ13" i="1" s="1"/>
  <c r="AI18" i="1"/>
  <c r="AJ18" i="1" s="1"/>
  <c r="AI10" i="1"/>
  <c r="AJ10" i="1" s="1"/>
  <c r="AI6" i="1"/>
  <c r="AJ6" i="1" s="1"/>
  <c r="AI14" i="1"/>
  <c r="AJ14" i="1" s="1"/>
  <c r="AI19" i="1"/>
  <c r="AJ19" i="1" s="1"/>
  <c r="G46" i="1"/>
  <c r="O46" i="1"/>
  <c r="Q69" i="1"/>
  <c r="R69" i="1" s="1"/>
  <c r="G58" i="1"/>
  <c r="G7" i="1"/>
  <c r="O58" i="1"/>
  <c r="O7" i="1"/>
  <c r="W58" i="1"/>
  <c r="W7" i="1"/>
  <c r="AE58" i="1"/>
  <c r="AE7" i="1"/>
  <c r="AE15" i="1" s="1"/>
  <c r="AC69" i="1"/>
  <c r="AD69" i="1" s="1"/>
  <c r="AG50" i="1"/>
  <c r="AH50" i="1" s="1"/>
  <c r="W21" i="1"/>
  <c r="W43" i="1" s="1"/>
  <c r="I50" i="1"/>
  <c r="J50" i="1" s="1"/>
  <c r="Q49" i="1"/>
  <c r="R49" i="1" s="1"/>
  <c r="AG63" i="1"/>
  <c r="AH63" i="1" s="1"/>
  <c r="Y61" i="1"/>
  <c r="Z61" i="1" s="1"/>
  <c r="I63" i="1"/>
  <c r="J63" i="1" s="1"/>
  <c r="Q61" i="1"/>
  <c r="R61" i="1" s="1"/>
  <c r="G33" i="1"/>
  <c r="K23" i="1"/>
  <c r="O33" i="1"/>
  <c r="S23" i="1"/>
  <c r="W33" i="1"/>
  <c r="AA23" i="1"/>
  <c r="AE33" i="1"/>
  <c r="Y69" i="1"/>
  <c r="Z69" i="1" s="1"/>
  <c r="AG49" i="1"/>
  <c r="AH49" i="1" s="1"/>
  <c r="K21" i="1"/>
  <c r="K43" i="1" s="1"/>
  <c r="I49" i="1"/>
  <c r="J49" i="1" s="1"/>
  <c r="Q48" i="1"/>
  <c r="R48" i="1" s="1"/>
  <c r="I62" i="1"/>
  <c r="J62" i="1" s="1"/>
  <c r="Q60" i="1"/>
  <c r="R60" i="1" s="1"/>
  <c r="S21" i="1"/>
  <c r="S43" i="1" s="1"/>
  <c r="G23" i="1"/>
  <c r="G66" i="1" s="1"/>
  <c r="K58" i="1"/>
  <c r="K7" i="1"/>
  <c r="K66" i="1" s="1"/>
  <c r="O23" i="1"/>
  <c r="O66" i="1" s="1"/>
  <c r="S58" i="1"/>
  <c r="S7" i="1"/>
  <c r="W23" i="1"/>
  <c r="AA58" i="1"/>
  <c r="AA7" i="1"/>
  <c r="AA66" i="1" s="1"/>
  <c r="AE23" i="1"/>
  <c r="N48" i="1"/>
  <c r="N60" i="1"/>
  <c r="G15" i="1"/>
  <c r="O15" i="1"/>
  <c r="W15" i="1"/>
  <c r="AI9" i="1"/>
  <c r="AJ9" i="1" s="1"/>
  <c r="AI38" i="1"/>
  <c r="AJ38" i="1" s="1"/>
  <c r="Y48" i="1"/>
  <c r="Z48" i="1" s="1"/>
  <c r="S66" i="1"/>
  <c r="AI45" i="1"/>
  <c r="AJ45" i="1" s="1"/>
  <c r="AI12" i="1"/>
  <c r="AJ12" i="1" s="1"/>
  <c r="AI37" i="1"/>
  <c r="AJ37" i="1" s="1"/>
  <c r="I69" i="1"/>
  <c r="Y51" i="1"/>
  <c r="Z51" i="1" s="1"/>
  <c r="AI11" i="1"/>
  <c r="AJ11" i="1" s="1"/>
  <c r="AI36" i="1"/>
  <c r="AJ36" i="1" s="1"/>
  <c r="N51" i="1"/>
  <c r="AG62" i="1"/>
  <c r="Y60" i="1"/>
  <c r="Z60" i="1" s="1"/>
  <c r="AE21" i="1"/>
  <c r="G21" i="1"/>
  <c r="O21" i="1"/>
  <c r="K41" i="1"/>
  <c r="AA41" i="1"/>
  <c r="AA21" i="1"/>
  <c r="W46" i="1"/>
  <c r="AE46" i="1"/>
  <c r="AI68" i="1" l="1"/>
  <c r="AJ68" i="1" s="1"/>
  <c r="AI44" i="1"/>
  <c r="AJ44" i="1" s="1"/>
  <c r="U21" i="1"/>
  <c r="V21" i="1" s="1"/>
  <c r="AI26" i="1"/>
  <c r="AJ26" i="1" s="1"/>
  <c r="AI61" i="1"/>
  <c r="AJ61" i="1" s="1"/>
  <c r="AI63" i="1"/>
  <c r="AJ63" i="1" s="1"/>
  <c r="AI24" i="1"/>
  <c r="AJ24" i="1" s="1"/>
  <c r="O67" i="1"/>
  <c r="Q67" i="1" s="1"/>
  <c r="AI27" i="1"/>
  <c r="AJ27" i="1" s="1"/>
  <c r="AI22" i="1"/>
  <c r="AJ22" i="1" s="1"/>
  <c r="J22" i="1"/>
  <c r="Y21" i="1"/>
  <c r="Z21" i="1" s="1"/>
  <c r="AA15" i="1"/>
  <c r="AC15" i="1" s="1"/>
  <c r="AD15" i="1" s="1"/>
  <c r="AI50" i="1"/>
  <c r="AJ50" i="1" s="1"/>
  <c r="AI52" i="1"/>
  <c r="AJ52" i="1" s="1"/>
  <c r="M21" i="1"/>
  <c r="N21" i="1" s="1"/>
  <c r="AI51" i="1"/>
  <c r="AJ51" i="1" s="1"/>
  <c r="AI64" i="1"/>
  <c r="AJ64" i="1" s="1"/>
  <c r="K15" i="1"/>
  <c r="M15" i="1" s="1"/>
  <c r="N15" i="1" s="1"/>
  <c r="AI28" i="1"/>
  <c r="AJ28" i="1" s="1"/>
  <c r="AI25" i="1"/>
  <c r="AJ25" i="1" s="1"/>
  <c r="AI49" i="1"/>
  <c r="AJ49" i="1" s="1"/>
  <c r="AI29" i="1"/>
  <c r="AJ29" i="1" s="1"/>
  <c r="J29" i="1"/>
  <c r="S31" i="1"/>
  <c r="O41" i="1"/>
  <c r="Q41" i="1" s="1"/>
  <c r="R41" i="1" s="1"/>
  <c r="W31" i="1"/>
  <c r="Y31" i="1" s="1"/>
  <c r="Z31" i="1" s="1"/>
  <c r="U58" i="1"/>
  <c r="V58" i="1" s="1"/>
  <c r="AC23" i="1"/>
  <c r="AD23" i="1" s="1"/>
  <c r="Y33" i="1"/>
  <c r="Z33" i="1" s="1"/>
  <c r="AG7" i="1"/>
  <c r="AH7" i="1" s="1"/>
  <c r="I58" i="1"/>
  <c r="AE41" i="1"/>
  <c r="AG41" i="1" s="1"/>
  <c r="AH41" i="1" s="1"/>
  <c r="AA67" i="1"/>
  <c r="S54" i="1"/>
  <c r="U54" i="1" s="1"/>
  <c r="V54" i="1" s="1"/>
  <c r="K67" i="1"/>
  <c r="O31" i="1"/>
  <c r="Q31" i="1" s="1"/>
  <c r="R31" i="1" s="1"/>
  <c r="G67" i="1"/>
  <c r="AG23" i="1"/>
  <c r="AH23" i="1" s="1"/>
  <c r="U7" i="1"/>
  <c r="V7" i="1" s="1"/>
  <c r="Q23" i="1"/>
  <c r="R23" i="1" s="1"/>
  <c r="AG33" i="1"/>
  <c r="AH33" i="1" s="1"/>
  <c r="Q58" i="1"/>
  <c r="R58" i="1" s="1"/>
  <c r="I7" i="1"/>
  <c r="Q46" i="1"/>
  <c r="R46" i="1" s="1"/>
  <c r="I46" i="1"/>
  <c r="J46" i="1" s="1"/>
  <c r="AE66" i="1"/>
  <c r="AC58" i="1"/>
  <c r="AD58" i="1" s="1"/>
  <c r="M58" i="1"/>
  <c r="N58" i="1" s="1"/>
  <c r="M23" i="1"/>
  <c r="N23" i="1" s="1"/>
  <c r="I33" i="1"/>
  <c r="Y58" i="1"/>
  <c r="Z58" i="1" s="1"/>
  <c r="Q7" i="1"/>
  <c r="R7" i="1" s="1"/>
  <c r="S15" i="1"/>
  <c r="W41" i="1"/>
  <c r="Y41" i="1" s="1"/>
  <c r="Z41" i="1" s="1"/>
  <c r="S67" i="1"/>
  <c r="U67" i="1" s="1"/>
  <c r="V67" i="1" s="1"/>
  <c r="K54" i="1"/>
  <c r="M54" i="1" s="1"/>
  <c r="N54" i="1" s="1"/>
  <c r="G41" i="1"/>
  <c r="I41" i="1" s="1"/>
  <c r="W66" i="1"/>
  <c r="Y66" i="1" s="1"/>
  <c r="Z66" i="1" s="1"/>
  <c r="AE31" i="1"/>
  <c r="AG31" i="1" s="1"/>
  <c r="AH31" i="1" s="1"/>
  <c r="G31" i="1"/>
  <c r="I31" i="1" s="1"/>
  <c r="AC7" i="1"/>
  <c r="AD7" i="1" s="1"/>
  <c r="Y23" i="1"/>
  <c r="Z23" i="1" s="1"/>
  <c r="M7" i="1"/>
  <c r="N7" i="1" s="1"/>
  <c r="I23" i="1"/>
  <c r="U23" i="1"/>
  <c r="V23" i="1" s="1"/>
  <c r="Q33" i="1"/>
  <c r="R33" i="1" s="1"/>
  <c r="AG58" i="1"/>
  <c r="AH58" i="1" s="1"/>
  <c r="Y7" i="1"/>
  <c r="Z7" i="1" s="1"/>
  <c r="I67" i="1"/>
  <c r="AG66" i="1"/>
  <c r="AH66" i="1" s="1"/>
  <c r="AE67" i="1"/>
  <c r="W67" i="1"/>
  <c r="U31" i="1"/>
  <c r="V31" i="1" s="1"/>
  <c r="AC30" i="1"/>
  <c r="AD30" i="1" s="1"/>
  <c r="M30" i="1"/>
  <c r="N30" i="1" s="1"/>
  <c r="AA31" i="1"/>
  <c r="AC65" i="1"/>
  <c r="AD65" i="1" s="1"/>
  <c r="U65" i="1"/>
  <c r="V65" i="1" s="1"/>
  <c r="K31" i="1"/>
  <c r="M65" i="1"/>
  <c r="N65" i="1" s="1"/>
  <c r="AA43" i="1"/>
  <c r="AC21" i="1"/>
  <c r="AD21" i="1" s="1"/>
  <c r="AC41" i="1"/>
  <c r="AD41" i="1" s="1"/>
  <c r="Y53" i="1"/>
  <c r="Z53" i="1" s="1"/>
  <c r="U40" i="1"/>
  <c r="V40" i="1" s="1"/>
  <c r="M41" i="1"/>
  <c r="N41" i="1" s="1"/>
  <c r="I53" i="1"/>
  <c r="O43" i="1"/>
  <c r="Q21" i="1"/>
  <c r="R21" i="1" s="1"/>
  <c r="AH62" i="1"/>
  <c r="AI62" i="1"/>
  <c r="AJ62" i="1" s="1"/>
  <c r="AC66" i="1"/>
  <c r="AD66" i="1" s="1"/>
  <c r="Q66" i="1"/>
  <c r="R66" i="1" s="1"/>
  <c r="AC67" i="1"/>
  <c r="U30" i="1"/>
  <c r="V30" i="1" s="1"/>
  <c r="Y43" i="1"/>
  <c r="Z43" i="1" s="1"/>
  <c r="AG53" i="1"/>
  <c r="AH53" i="1" s="1"/>
  <c r="AC40" i="1"/>
  <c r="AD40" i="1" s="1"/>
  <c r="W54" i="1"/>
  <c r="S41" i="1"/>
  <c r="Q53" i="1"/>
  <c r="R53" i="1" s="1"/>
  <c r="M40" i="1"/>
  <c r="N40" i="1" s="1"/>
  <c r="I21" i="1"/>
  <c r="G43" i="1"/>
  <c r="M43" i="1"/>
  <c r="N43" i="1" s="1"/>
  <c r="J69" i="1"/>
  <c r="AI69" i="1"/>
  <c r="AJ69" i="1" s="1"/>
  <c r="U66" i="1"/>
  <c r="V66" i="1" s="1"/>
  <c r="N69" i="1"/>
  <c r="Y15" i="1"/>
  <c r="Z15" i="1" s="1"/>
  <c r="I15" i="1"/>
  <c r="AI48" i="1"/>
  <c r="AJ48" i="1" s="1"/>
  <c r="Y40" i="1"/>
  <c r="Z40" i="1" s="1"/>
  <c r="M53" i="1"/>
  <c r="N53" i="1" s="1"/>
  <c r="I40" i="1"/>
  <c r="AG46" i="1"/>
  <c r="AH46" i="1" s="1"/>
  <c r="AG30" i="1"/>
  <c r="AH30" i="1" s="1"/>
  <c r="AG65" i="1"/>
  <c r="AH65" i="1" s="1"/>
  <c r="Q30" i="1"/>
  <c r="R30" i="1" s="1"/>
  <c r="Q65" i="1"/>
  <c r="R65" i="1" s="1"/>
  <c r="AG21" i="1"/>
  <c r="AH21" i="1" s="1"/>
  <c r="AE43" i="1"/>
  <c r="M66" i="1"/>
  <c r="N66" i="1" s="1"/>
  <c r="I66" i="1"/>
  <c r="AG40" i="1"/>
  <c r="AH40" i="1" s="1"/>
  <c r="AC53" i="1"/>
  <c r="AD53" i="1" s="1"/>
  <c r="U53" i="1"/>
  <c r="V53" i="1" s="1"/>
  <c r="Q40" i="1"/>
  <c r="R40" i="1" s="1"/>
  <c r="Y46" i="1"/>
  <c r="Y30" i="1"/>
  <c r="Z30" i="1" s="1"/>
  <c r="Y65" i="1"/>
  <c r="Z65" i="1" s="1"/>
  <c r="I30" i="1"/>
  <c r="I65" i="1"/>
  <c r="U43" i="1"/>
  <c r="V43" i="1" s="1"/>
  <c r="V69" i="1"/>
  <c r="AG15" i="1"/>
  <c r="AH15" i="1" s="1"/>
  <c r="Q15" i="1"/>
  <c r="R15" i="1" s="1"/>
  <c r="AI60" i="1"/>
  <c r="AJ60" i="1" s="1"/>
  <c r="K70" i="1" l="1"/>
  <c r="M67" i="1"/>
  <c r="N67" i="1" s="1"/>
  <c r="U15" i="1"/>
  <c r="V15" i="1" s="1"/>
  <c r="J23" i="1"/>
  <c r="AI23" i="1"/>
  <c r="AJ23" i="1" s="1"/>
  <c r="J7" i="1"/>
  <c r="AI7" i="1"/>
  <c r="AJ7" i="1" s="1"/>
  <c r="AI33" i="1"/>
  <c r="AJ33" i="1" s="1"/>
  <c r="J33" i="1"/>
  <c r="J58" i="1"/>
  <c r="AI58" i="1"/>
  <c r="AJ58" i="1" s="1"/>
  <c r="AG43" i="1"/>
  <c r="AH43" i="1" s="1"/>
  <c r="AE54" i="1"/>
  <c r="AE70" i="1" s="1"/>
  <c r="J40" i="1"/>
  <c r="AI40" i="1"/>
  <c r="AJ40" i="1" s="1"/>
  <c r="J15" i="1"/>
  <c r="Y54" i="1"/>
  <c r="Z54" i="1" s="1"/>
  <c r="AC43" i="1"/>
  <c r="AD43" i="1" s="1"/>
  <c r="AA54" i="1"/>
  <c r="AC31" i="1"/>
  <c r="AD31" i="1" s="1"/>
  <c r="J31" i="1"/>
  <c r="Z46" i="1"/>
  <c r="AI46" i="1"/>
  <c r="AJ46" i="1" s="1"/>
  <c r="J65" i="1"/>
  <c r="AI65" i="1"/>
  <c r="AJ65" i="1" s="1"/>
  <c r="I43" i="1"/>
  <c r="G54" i="1"/>
  <c r="J53" i="1"/>
  <c r="AI53" i="1"/>
  <c r="AJ53" i="1" s="1"/>
  <c r="Y67" i="1"/>
  <c r="W70" i="1"/>
  <c r="R67" i="1"/>
  <c r="J41" i="1"/>
  <c r="J66" i="1"/>
  <c r="AI66" i="1"/>
  <c r="AJ66" i="1" s="1"/>
  <c r="J21" i="1"/>
  <c r="AI21" i="1"/>
  <c r="AJ21" i="1" s="1"/>
  <c r="AG67" i="1"/>
  <c r="J30" i="1"/>
  <c r="AI30" i="1"/>
  <c r="AJ30" i="1" s="1"/>
  <c r="U41" i="1"/>
  <c r="AD67" i="1"/>
  <c r="Q43" i="1"/>
  <c r="R43" i="1" s="1"/>
  <c r="O54" i="1"/>
  <c r="M31" i="1"/>
  <c r="N31" i="1" s="1"/>
  <c r="S70" i="1"/>
  <c r="J67" i="1"/>
  <c r="K71" i="1" l="1"/>
  <c r="K72" i="1" s="1"/>
  <c r="K78" i="1" s="1"/>
  <c r="W71" i="1"/>
  <c r="AI15" i="1"/>
  <c r="AJ15" i="1" s="1"/>
  <c r="AI67" i="1"/>
  <c r="AJ67" i="1" s="1"/>
  <c r="N70" i="1"/>
  <c r="S71" i="1"/>
  <c r="V41" i="1"/>
  <c r="V70" i="1" s="1"/>
  <c r="U70" i="1"/>
  <c r="J43" i="1"/>
  <c r="AI43" i="1"/>
  <c r="AJ43" i="1" s="1"/>
  <c r="AI41" i="1"/>
  <c r="AJ41" i="1" s="1"/>
  <c r="AG54" i="1"/>
  <c r="AH54" i="1" s="1"/>
  <c r="Q54" i="1"/>
  <c r="O70" i="1"/>
  <c r="O71" i="1" s="1"/>
  <c r="M70" i="1"/>
  <c r="Z67" i="1"/>
  <c r="Z70" i="1" s="1"/>
  <c r="Y70" i="1"/>
  <c r="AH67" i="1"/>
  <c r="I54" i="1"/>
  <c r="G70" i="1"/>
  <c r="AI31" i="1"/>
  <c r="AJ31" i="1" s="1"/>
  <c r="AC54" i="1"/>
  <c r="AA70" i="1"/>
  <c r="AA71" i="1" s="1"/>
  <c r="M71" i="1" l="1"/>
  <c r="M72" i="1" s="1"/>
  <c r="N71" i="1"/>
  <c r="N72" i="1" s="1"/>
  <c r="N78" i="1" s="1"/>
  <c r="G71" i="1"/>
  <c r="AH70" i="1"/>
  <c r="AG70" i="1"/>
  <c r="Z72" i="1"/>
  <c r="Z79" i="1" s="1"/>
  <c r="Z74" i="1" s="1"/>
  <c r="U71" i="1"/>
  <c r="U72" i="1" s="1"/>
  <c r="U78" i="1" s="1"/>
  <c r="U79" i="1" s="1"/>
  <c r="V71" i="1"/>
  <c r="V72" i="1" s="1"/>
  <c r="AE72" i="1"/>
  <c r="Y72" i="1"/>
  <c r="W72" i="1"/>
  <c r="W78" i="1" s="1"/>
  <c r="S72" i="1"/>
  <c r="J54" i="1"/>
  <c r="AI54" i="1"/>
  <c r="I70" i="1"/>
  <c r="AD54" i="1"/>
  <c r="AD70" i="1" s="1"/>
  <c r="AD71" i="1" s="1"/>
  <c r="AC70" i="1"/>
  <c r="AC71" i="1" s="1"/>
  <c r="R54" i="1"/>
  <c r="R70" i="1" s="1"/>
  <c r="R71" i="1" s="1"/>
  <c r="Q70" i="1"/>
  <c r="M78" i="1" l="1"/>
  <c r="M79" i="1" s="1"/>
  <c r="Q71" i="1"/>
  <c r="Q72" i="1" s="1"/>
  <c r="Q78" i="1" s="1"/>
  <c r="I71" i="1"/>
  <c r="I72" i="1" s="1"/>
  <c r="I78" i="1" s="1"/>
  <c r="U75" i="1"/>
  <c r="N79" i="1"/>
  <c r="N76" i="1" s="1"/>
  <c r="AH72" i="1"/>
  <c r="AG72" i="1"/>
  <c r="AC72" i="1"/>
  <c r="AC78" i="1" s="1"/>
  <c r="AD72" i="1"/>
  <c r="Z73" i="1"/>
  <c r="Z75" i="1"/>
  <c r="Z76" i="1"/>
  <c r="U76" i="1"/>
  <c r="U74" i="1"/>
  <c r="U73" i="1"/>
  <c r="R72" i="1"/>
  <c r="R78" i="1" s="1"/>
  <c r="AI70" i="1"/>
  <c r="AJ54" i="1"/>
  <c r="S78" i="1"/>
  <c r="G72" i="1"/>
  <c r="G78" i="1" s="1"/>
  <c r="O72" i="1"/>
  <c r="O78" i="1" s="1"/>
  <c r="AA72" i="1"/>
  <c r="AA78" i="1" s="1"/>
  <c r="K79" i="1"/>
  <c r="V78" i="1"/>
  <c r="V79" i="1" s="1"/>
  <c r="V76" i="1" s="1"/>
  <c r="J70" i="1"/>
  <c r="M75" i="1" l="1"/>
  <c r="M74" i="1"/>
  <c r="M76" i="1"/>
  <c r="M73" i="1"/>
  <c r="AI71" i="1"/>
  <c r="AJ71" i="1" s="1"/>
  <c r="Y79" i="1"/>
  <c r="Y76" i="1" s="1"/>
  <c r="AI78" i="1"/>
  <c r="J71" i="1"/>
  <c r="J72" i="1" s="1"/>
  <c r="J78" i="1" s="1"/>
  <c r="U77" i="1"/>
  <c r="U80" i="1" s="1"/>
  <c r="U81" i="1" s="1"/>
  <c r="N75" i="1"/>
  <c r="N73" i="1"/>
  <c r="R79" i="1"/>
  <c r="R73" i="1" s="1"/>
  <c r="N74" i="1"/>
  <c r="K73" i="1"/>
  <c r="K76" i="1"/>
  <c r="K75" i="1"/>
  <c r="K74" i="1"/>
  <c r="AH79" i="1"/>
  <c r="AH76" i="1" s="1"/>
  <c r="AG79" i="1"/>
  <c r="AG76" i="1" s="1"/>
  <c r="AD78" i="1"/>
  <c r="AD79" i="1" s="1"/>
  <c r="Z77" i="1"/>
  <c r="Z80" i="1" s="1"/>
  <c r="Z81" i="1" s="1"/>
  <c r="V73" i="1"/>
  <c r="V75" i="1"/>
  <c r="V74" i="1"/>
  <c r="I79" i="1"/>
  <c r="I73" i="1" s="1"/>
  <c r="W79" i="1"/>
  <c r="G79" i="1"/>
  <c r="G75" i="1" s="1"/>
  <c r="S79" i="1"/>
  <c r="Q79" i="1"/>
  <c r="AE79" i="1"/>
  <c r="AC79" i="1"/>
  <c r="AC73" i="1" s="1"/>
  <c r="AJ70" i="1"/>
  <c r="Y74" i="1" l="1"/>
  <c r="M77" i="1"/>
  <c r="M80" i="1" s="1"/>
  <c r="M81" i="1" s="1"/>
  <c r="Y75" i="1"/>
  <c r="Y73" i="1"/>
  <c r="R75" i="1"/>
  <c r="I76" i="1"/>
  <c r="R76" i="1"/>
  <c r="R74" i="1"/>
  <c r="N77" i="1"/>
  <c r="N80" i="1" s="1"/>
  <c r="N81" i="1" s="1"/>
  <c r="S76" i="1"/>
  <c r="S75" i="1"/>
  <c r="S74" i="1"/>
  <c r="S73" i="1"/>
  <c r="AG75" i="1"/>
  <c r="AG73" i="1"/>
  <c r="AG74" i="1"/>
  <c r="K77" i="1"/>
  <c r="AI72" i="1"/>
  <c r="AH74" i="1"/>
  <c r="AH73" i="1"/>
  <c r="AH75" i="1"/>
  <c r="AJ76" i="1"/>
  <c r="AD75" i="1"/>
  <c r="AD76" i="1"/>
  <c r="AD73" i="1"/>
  <c r="AD74" i="1"/>
  <c r="AC74" i="1"/>
  <c r="AC76" i="1"/>
  <c r="AC75" i="1"/>
  <c r="V77" i="1"/>
  <c r="V80" i="1" s="1"/>
  <c r="V81" i="1" s="1"/>
  <c r="Q76" i="1"/>
  <c r="Q75" i="1"/>
  <c r="Q73" i="1"/>
  <c r="Q74" i="1"/>
  <c r="I75" i="1"/>
  <c r="I74" i="1"/>
  <c r="AE76" i="1"/>
  <c r="AE75" i="1"/>
  <c r="AE74" i="1"/>
  <c r="AE73" i="1"/>
  <c r="W73" i="1"/>
  <c r="W75" i="1"/>
  <c r="W76" i="1"/>
  <c r="W74" i="1"/>
  <c r="G76" i="1"/>
  <c r="G74" i="1"/>
  <c r="G73" i="1"/>
  <c r="J79" i="1"/>
  <c r="J75" i="1" s="1"/>
  <c r="O79" i="1"/>
  <c r="AA79" i="1"/>
  <c r="Y77" i="1" l="1"/>
  <c r="Y80" i="1" s="1"/>
  <c r="Y81" i="1" s="1"/>
  <c r="R77" i="1"/>
  <c r="S77" i="1"/>
  <c r="AG77" i="1"/>
  <c r="AG80" i="1" s="1"/>
  <c r="AD77" i="1"/>
  <c r="AD80" i="1" s="1"/>
  <c r="AD81" i="1" s="1"/>
  <c r="AJ72" i="1"/>
  <c r="AJ78" i="1"/>
  <c r="AH77" i="1"/>
  <c r="AH80" i="1" s="1"/>
  <c r="AH81" i="1" s="1"/>
  <c r="I77" i="1"/>
  <c r="AC77" i="1"/>
  <c r="AC80" i="1" s="1"/>
  <c r="AC81" i="1" s="1"/>
  <c r="W77" i="1"/>
  <c r="Q77" i="1"/>
  <c r="Q80" i="1" s="1"/>
  <c r="AE77" i="1"/>
  <c r="AA74" i="1"/>
  <c r="AA73" i="1"/>
  <c r="AA76" i="1"/>
  <c r="AA75" i="1"/>
  <c r="O76" i="1"/>
  <c r="O75" i="1"/>
  <c r="O74" i="1"/>
  <c r="O73" i="1"/>
  <c r="J74" i="1"/>
  <c r="J76" i="1"/>
  <c r="J73" i="1"/>
  <c r="G77" i="1"/>
  <c r="K80" i="1"/>
  <c r="AI79" i="1" l="1"/>
  <c r="AI74" i="1" s="1"/>
  <c r="AJ74" i="1" s="1"/>
  <c r="J77" i="1"/>
  <c r="AA77" i="1"/>
  <c r="O77" i="1"/>
  <c r="S80" i="1"/>
  <c r="K81" i="1"/>
  <c r="W80" i="1"/>
  <c r="AE80" i="1"/>
  <c r="J4" i="2" l="1"/>
  <c r="AI75" i="1"/>
  <c r="AJ75" i="1" s="1"/>
  <c r="AJ79" i="1"/>
  <c r="AI73" i="1"/>
  <c r="AJ73" i="1" s="1"/>
  <c r="L80" i="1"/>
  <c r="L76" i="1"/>
  <c r="W81" i="1"/>
  <c r="Y4" i="2" s="1"/>
  <c r="Z4" i="2" s="1"/>
  <c r="AA4" i="2" s="1"/>
  <c r="AA80" i="1"/>
  <c r="G80" i="1"/>
  <c r="G81" i="1" s="1"/>
  <c r="E4" i="2" s="1"/>
  <c r="AE81" i="1"/>
  <c r="AI4" i="2" s="1"/>
  <c r="O80" i="1"/>
  <c r="L81" i="1"/>
  <c r="L14" i="1"/>
  <c r="L9" i="1"/>
  <c r="L11" i="1"/>
  <c r="L33" i="1"/>
  <c r="L24" i="1"/>
  <c r="L39" i="1"/>
  <c r="L45" i="1"/>
  <c r="L26" i="1"/>
  <c r="L44" i="1"/>
  <c r="L25" i="1"/>
  <c r="L48" i="1"/>
  <c r="L10" i="1"/>
  <c r="L12" i="1"/>
  <c r="L51" i="1"/>
  <c r="L6" i="1"/>
  <c r="L35" i="1"/>
  <c r="L32" i="1"/>
  <c r="L49" i="1"/>
  <c r="L64" i="1"/>
  <c r="L68" i="1"/>
  <c r="L20" i="1"/>
  <c r="L17" i="1"/>
  <c r="L46" i="1"/>
  <c r="L8" i="1"/>
  <c r="L36" i="1"/>
  <c r="L62" i="1"/>
  <c r="L27" i="1"/>
  <c r="L50" i="1"/>
  <c r="L38" i="1"/>
  <c r="L18" i="1"/>
  <c r="L60" i="1"/>
  <c r="L22" i="1"/>
  <c r="L37" i="1"/>
  <c r="L16" i="1"/>
  <c r="L55" i="1"/>
  <c r="L13" i="1"/>
  <c r="L28" i="1"/>
  <c r="L56" i="1"/>
  <c r="L19" i="1"/>
  <c r="L61" i="1"/>
  <c r="L34" i="1"/>
  <c r="L69" i="1"/>
  <c r="L57" i="1"/>
  <c r="L29" i="1"/>
  <c r="L52" i="1"/>
  <c r="L63" i="1"/>
  <c r="L42" i="1"/>
  <c r="L41" i="1"/>
  <c r="L30" i="1"/>
  <c r="L43" i="1"/>
  <c r="L21" i="1"/>
  <c r="L58" i="1"/>
  <c r="L23" i="1"/>
  <c r="L65" i="1"/>
  <c r="L15" i="1"/>
  <c r="L53" i="1"/>
  <c r="L40" i="1"/>
  <c r="L66" i="1"/>
  <c r="L7" i="1"/>
  <c r="L31" i="1"/>
  <c r="L67" i="1"/>
  <c r="L70" i="1"/>
  <c r="L54" i="1"/>
  <c r="L71" i="1"/>
  <c r="L72" i="1"/>
  <c r="L78" i="1"/>
  <c r="L79" i="1"/>
  <c r="L74" i="1"/>
  <c r="L75" i="1"/>
  <c r="L73" i="1"/>
  <c r="L77" i="1"/>
  <c r="S81" i="1"/>
  <c r="F4" i="2" l="1"/>
  <c r="F5" i="2"/>
  <c r="T76" i="1"/>
  <c r="AG81" i="1"/>
  <c r="AI77" i="1"/>
  <c r="AJ77" i="1" s="1"/>
  <c r="H76" i="1"/>
  <c r="AF76" i="1"/>
  <c r="X73" i="1"/>
  <c r="X76" i="1"/>
  <c r="AF81" i="1"/>
  <c r="AF13" i="1"/>
  <c r="AF29" i="1"/>
  <c r="AF8" i="1"/>
  <c r="AF24" i="1"/>
  <c r="AF26" i="1"/>
  <c r="AF16" i="1"/>
  <c r="AF69" i="1"/>
  <c r="AF6" i="1"/>
  <c r="AF27" i="1"/>
  <c r="AF68" i="1"/>
  <c r="AF20" i="1"/>
  <c r="AF9" i="1"/>
  <c r="AF25" i="1"/>
  <c r="AF61" i="1"/>
  <c r="AF44" i="1"/>
  <c r="AF17" i="1"/>
  <c r="AF37" i="1"/>
  <c r="AF64" i="1"/>
  <c r="AF57" i="1"/>
  <c r="AF50" i="1"/>
  <c r="AF55" i="1"/>
  <c r="AF49" i="1"/>
  <c r="AF45" i="1"/>
  <c r="AF14" i="1"/>
  <c r="AF38" i="1"/>
  <c r="AF52" i="1"/>
  <c r="AF22" i="1"/>
  <c r="AF60" i="1"/>
  <c r="AF42" i="1"/>
  <c r="AF19" i="1"/>
  <c r="AF39" i="1"/>
  <c r="AF18" i="1"/>
  <c r="AF62" i="1"/>
  <c r="AF11" i="1"/>
  <c r="AF10" i="1"/>
  <c r="AF12" i="1"/>
  <c r="AF28" i="1"/>
  <c r="AF34" i="1"/>
  <c r="AF48" i="1"/>
  <c r="AF51" i="1"/>
  <c r="AF36" i="1"/>
  <c r="AF63" i="1"/>
  <c r="AF32" i="1"/>
  <c r="AF35" i="1"/>
  <c r="AF56" i="1"/>
  <c r="AF53" i="1"/>
  <c r="AF40" i="1"/>
  <c r="AF7" i="1"/>
  <c r="AF33" i="1"/>
  <c r="AF15" i="1"/>
  <c r="AF21" i="1"/>
  <c r="AF46" i="1"/>
  <c r="AF65" i="1"/>
  <c r="AF23" i="1"/>
  <c r="AF30" i="1"/>
  <c r="AF58" i="1"/>
  <c r="AF43" i="1"/>
  <c r="AF67" i="1"/>
  <c r="AF31" i="1"/>
  <c r="AF41" i="1"/>
  <c r="AF66" i="1"/>
  <c r="AF70" i="1"/>
  <c r="AF54" i="1"/>
  <c r="AF71" i="1"/>
  <c r="AF72" i="1"/>
  <c r="AF78" i="1"/>
  <c r="AF79" i="1"/>
  <c r="AF74" i="1"/>
  <c r="AF75" i="1"/>
  <c r="AF73" i="1"/>
  <c r="AF77" i="1"/>
  <c r="AA81" i="1"/>
  <c r="O81" i="1"/>
  <c r="O4" i="2" s="1"/>
  <c r="AF80" i="1"/>
  <c r="X81" i="1"/>
  <c r="X11" i="1"/>
  <c r="X25" i="1"/>
  <c r="X19" i="1"/>
  <c r="X63" i="1"/>
  <c r="X37" i="1"/>
  <c r="X49" i="1"/>
  <c r="X20" i="1"/>
  <c r="X16" i="1"/>
  <c r="X61" i="1"/>
  <c r="X32" i="1"/>
  <c r="X17" i="1"/>
  <c r="X38" i="1"/>
  <c r="X18" i="1"/>
  <c r="X62" i="1"/>
  <c r="X6" i="1"/>
  <c r="X68" i="1"/>
  <c r="X52" i="1"/>
  <c r="X39" i="1"/>
  <c r="X51" i="1"/>
  <c r="X64" i="1"/>
  <c r="X13" i="1"/>
  <c r="X12" i="1"/>
  <c r="X14" i="1"/>
  <c r="X28" i="1"/>
  <c r="X34" i="1"/>
  <c r="X44" i="1"/>
  <c r="X56" i="1"/>
  <c r="X57" i="1"/>
  <c r="X36" i="1"/>
  <c r="X48" i="1"/>
  <c r="X55" i="1"/>
  <c r="X35" i="1"/>
  <c r="X69" i="1"/>
  <c r="X60" i="1"/>
  <c r="X9" i="1"/>
  <c r="X8" i="1"/>
  <c r="X29" i="1"/>
  <c r="X10" i="1"/>
  <c r="X24" i="1"/>
  <c r="X26" i="1"/>
  <c r="X50" i="1"/>
  <c r="X22" i="1"/>
  <c r="X42" i="1"/>
  <c r="X27" i="1"/>
  <c r="X45" i="1"/>
  <c r="X15" i="1"/>
  <c r="X21" i="1"/>
  <c r="X53" i="1"/>
  <c r="X40" i="1"/>
  <c r="X65" i="1"/>
  <c r="X58" i="1"/>
  <c r="X23" i="1"/>
  <c r="X7" i="1"/>
  <c r="X30" i="1"/>
  <c r="X33" i="1"/>
  <c r="X43" i="1"/>
  <c r="X46" i="1"/>
  <c r="X67" i="1"/>
  <c r="X66" i="1"/>
  <c r="X54" i="1"/>
  <c r="X41" i="1"/>
  <c r="X31" i="1"/>
  <c r="X70" i="1"/>
  <c r="X71" i="1"/>
  <c r="X72" i="1"/>
  <c r="X78" i="1"/>
  <c r="X79" i="1"/>
  <c r="X74" i="1"/>
  <c r="X75" i="1"/>
  <c r="X77" i="1"/>
  <c r="T4" i="2"/>
  <c r="T81" i="1"/>
  <c r="T12" i="1"/>
  <c r="T11" i="1"/>
  <c r="T13" i="1"/>
  <c r="T28" i="1"/>
  <c r="T32" i="1"/>
  <c r="T34" i="1"/>
  <c r="T29" i="1"/>
  <c r="T61" i="1"/>
  <c r="T55" i="1"/>
  <c r="T14" i="1"/>
  <c r="T9" i="1"/>
  <c r="T33" i="1"/>
  <c r="T24" i="1"/>
  <c r="T69" i="1"/>
  <c r="T64" i="1"/>
  <c r="T6" i="1"/>
  <c r="T39" i="1"/>
  <c r="T26" i="1"/>
  <c r="T22" i="1"/>
  <c r="T25" i="1"/>
  <c r="T42" i="1"/>
  <c r="T8" i="1"/>
  <c r="T10" i="1"/>
  <c r="T49" i="1"/>
  <c r="T60" i="1"/>
  <c r="T20" i="1"/>
  <c r="T35" i="1"/>
  <c r="T52" i="1"/>
  <c r="T63" i="1"/>
  <c r="T19" i="1"/>
  <c r="T17" i="1"/>
  <c r="T51" i="1"/>
  <c r="T62" i="1"/>
  <c r="T57" i="1"/>
  <c r="T50" i="1"/>
  <c r="T16" i="1"/>
  <c r="T46" i="1"/>
  <c r="T36" i="1"/>
  <c r="T68" i="1"/>
  <c r="T27" i="1"/>
  <c r="T48" i="1"/>
  <c r="T45" i="1"/>
  <c r="T38" i="1"/>
  <c r="T56" i="1"/>
  <c r="T18" i="1"/>
  <c r="T44" i="1"/>
  <c r="T37" i="1"/>
  <c r="T66" i="1"/>
  <c r="T7" i="1"/>
  <c r="T40" i="1"/>
  <c r="T58" i="1"/>
  <c r="T65" i="1"/>
  <c r="T43" i="1"/>
  <c r="T30" i="1"/>
  <c r="T53" i="1"/>
  <c r="T21" i="1"/>
  <c r="T23" i="1"/>
  <c r="T15" i="1"/>
  <c r="T41" i="1"/>
  <c r="T67" i="1"/>
  <c r="T54" i="1"/>
  <c r="T31" i="1"/>
  <c r="T70" i="1"/>
  <c r="T71" i="1"/>
  <c r="T72" i="1"/>
  <c r="T78" i="1"/>
  <c r="T79" i="1"/>
  <c r="T73" i="1"/>
  <c r="T75" i="1"/>
  <c r="T74" i="1"/>
  <c r="T77" i="1"/>
  <c r="T80" i="1"/>
  <c r="H80" i="1"/>
  <c r="X80" i="1"/>
  <c r="K5" i="2"/>
  <c r="L5" i="2" s="1"/>
  <c r="K4" i="2"/>
  <c r="G5" i="2" l="1"/>
  <c r="G4" i="2"/>
  <c r="AD4" i="2"/>
  <c r="Q81" i="1"/>
  <c r="AI81" i="1" s="1"/>
  <c r="AI80" i="1"/>
  <c r="AJ80" i="1" s="1"/>
  <c r="AB80" i="1"/>
  <c r="AB76" i="1"/>
  <c r="P80" i="1"/>
  <c r="P76" i="1"/>
  <c r="H81" i="1"/>
  <c r="H34" i="1"/>
  <c r="H48" i="1"/>
  <c r="H61" i="1"/>
  <c r="H22" i="1"/>
  <c r="H25" i="1"/>
  <c r="H51" i="1"/>
  <c r="H64" i="1"/>
  <c r="H57" i="1"/>
  <c r="H36" i="1"/>
  <c r="H50" i="1"/>
  <c r="H63" i="1"/>
  <c r="H55" i="1"/>
  <c r="H68" i="1"/>
  <c r="H35" i="1"/>
  <c r="H49" i="1"/>
  <c r="H12" i="1"/>
  <c r="H14" i="1"/>
  <c r="H26" i="1"/>
  <c r="H16" i="1"/>
  <c r="H60" i="1"/>
  <c r="H42" i="1"/>
  <c r="H28" i="1"/>
  <c r="H19" i="1"/>
  <c r="H27" i="1"/>
  <c r="H18" i="1"/>
  <c r="H13" i="1"/>
  <c r="H10" i="1"/>
  <c r="H37" i="1"/>
  <c r="H24" i="1"/>
  <c r="H32" i="1"/>
  <c r="H62" i="1"/>
  <c r="H11" i="1"/>
  <c r="H8" i="1"/>
  <c r="H38" i="1"/>
  <c r="H52" i="1"/>
  <c r="H44" i="1"/>
  <c r="H29" i="1"/>
  <c r="H6" i="1"/>
  <c r="H20" i="1"/>
  <c r="H17" i="1"/>
  <c r="H9" i="1"/>
  <c r="H39" i="1"/>
  <c r="H69" i="1"/>
  <c r="H56" i="1"/>
  <c r="H45" i="1"/>
  <c r="H40" i="1"/>
  <c r="H30" i="1"/>
  <c r="H53" i="1"/>
  <c r="H66" i="1"/>
  <c r="H7" i="1"/>
  <c r="H46" i="1"/>
  <c r="H21" i="1"/>
  <c r="H23" i="1"/>
  <c r="H15" i="1"/>
  <c r="H58" i="1"/>
  <c r="H65" i="1"/>
  <c r="H33" i="1"/>
  <c r="H43" i="1"/>
  <c r="H67" i="1"/>
  <c r="H31" i="1"/>
  <c r="H41" i="1"/>
  <c r="H54" i="1"/>
  <c r="H70" i="1"/>
  <c r="H71" i="1"/>
  <c r="H72" i="1"/>
  <c r="H78" i="1"/>
  <c r="H79" i="1"/>
  <c r="H73" i="1"/>
  <c r="H74" i="1"/>
  <c r="H75" i="1"/>
  <c r="H77" i="1"/>
  <c r="P81" i="1"/>
  <c r="P9" i="1"/>
  <c r="P38" i="1"/>
  <c r="P22" i="1"/>
  <c r="P17" i="1"/>
  <c r="P29" i="1"/>
  <c r="P50" i="1"/>
  <c r="P62" i="1"/>
  <c r="P42" i="1"/>
  <c r="P39" i="1"/>
  <c r="P18" i="1"/>
  <c r="P14" i="1"/>
  <c r="P34" i="1"/>
  <c r="P16" i="1"/>
  <c r="P25" i="1"/>
  <c r="P56" i="1"/>
  <c r="P36" i="1"/>
  <c r="P49" i="1"/>
  <c r="P61" i="1"/>
  <c r="P32" i="1"/>
  <c r="P35" i="1"/>
  <c r="P48" i="1"/>
  <c r="P64" i="1"/>
  <c r="P45" i="1"/>
  <c r="P10" i="1"/>
  <c r="P12" i="1"/>
  <c r="P26" i="1"/>
  <c r="P69" i="1"/>
  <c r="P6" i="1"/>
  <c r="P28" i="1"/>
  <c r="P19" i="1"/>
  <c r="P27" i="1"/>
  <c r="P11" i="1"/>
  <c r="P13" i="1"/>
  <c r="P8" i="1"/>
  <c r="P51" i="1"/>
  <c r="P63" i="1"/>
  <c r="P44" i="1"/>
  <c r="P37" i="1"/>
  <c r="P57" i="1"/>
  <c r="P24" i="1"/>
  <c r="P55" i="1"/>
  <c r="P52" i="1"/>
  <c r="P60" i="1"/>
  <c r="P68" i="1"/>
  <c r="P20" i="1"/>
  <c r="P67" i="1"/>
  <c r="P21" i="1"/>
  <c r="P40" i="1"/>
  <c r="P33" i="1"/>
  <c r="P15" i="1"/>
  <c r="P53" i="1"/>
  <c r="P66" i="1"/>
  <c r="P65" i="1"/>
  <c r="P30" i="1"/>
  <c r="P23" i="1"/>
  <c r="P58" i="1"/>
  <c r="P46" i="1"/>
  <c r="P7" i="1"/>
  <c r="P31" i="1"/>
  <c r="P43" i="1"/>
  <c r="P41" i="1"/>
  <c r="P54" i="1"/>
  <c r="P70" i="1"/>
  <c r="P71" i="1"/>
  <c r="P72" i="1"/>
  <c r="P78" i="1"/>
  <c r="P79" i="1"/>
  <c r="P74" i="1"/>
  <c r="P75" i="1"/>
  <c r="P73" i="1"/>
  <c r="P77" i="1"/>
  <c r="Z5" i="2"/>
  <c r="AA5" i="2" s="1"/>
  <c r="AJ5" i="2"/>
  <c r="AK5" i="2" s="1"/>
  <c r="AJ4" i="2"/>
  <c r="L4" i="2"/>
  <c r="L6" i="2" s="1"/>
  <c r="K6" i="2"/>
  <c r="U5" i="2"/>
  <c r="V5" i="2" s="1"/>
  <c r="U4" i="2"/>
  <c r="AB81" i="1"/>
  <c r="AB14" i="1"/>
  <c r="AB13" i="1"/>
  <c r="AB46" i="1"/>
  <c r="AB36" i="1"/>
  <c r="AB6" i="1"/>
  <c r="AB38" i="1"/>
  <c r="AB22" i="1"/>
  <c r="AB37" i="1"/>
  <c r="AB19" i="1"/>
  <c r="AB61" i="1"/>
  <c r="AB10" i="1"/>
  <c r="AB9" i="1"/>
  <c r="AB11" i="1"/>
  <c r="AB26" i="1"/>
  <c r="AB28" i="1"/>
  <c r="AB49" i="1"/>
  <c r="AB52" i="1"/>
  <c r="AB34" i="1"/>
  <c r="AB62" i="1"/>
  <c r="AB57" i="1"/>
  <c r="AB29" i="1"/>
  <c r="AB12" i="1"/>
  <c r="AB27" i="1"/>
  <c r="AB33" i="1"/>
  <c r="AB24" i="1"/>
  <c r="AB18" i="1"/>
  <c r="AB64" i="1"/>
  <c r="AB39" i="1"/>
  <c r="AB48" i="1"/>
  <c r="AB45" i="1"/>
  <c r="AB69" i="1"/>
  <c r="AB56" i="1"/>
  <c r="AB44" i="1"/>
  <c r="AB68" i="1"/>
  <c r="AB20" i="1"/>
  <c r="AB25" i="1"/>
  <c r="AB55" i="1"/>
  <c r="AB17" i="1"/>
  <c r="AB8" i="1"/>
  <c r="AB60" i="1"/>
  <c r="AB35" i="1"/>
  <c r="AB16" i="1"/>
  <c r="AB63" i="1"/>
  <c r="AB32" i="1"/>
  <c r="AB51" i="1"/>
  <c r="AB50" i="1"/>
  <c r="AB42" i="1"/>
  <c r="AB23" i="1"/>
  <c r="AB66" i="1"/>
  <c r="AB30" i="1"/>
  <c r="AB41" i="1"/>
  <c r="AB53" i="1"/>
  <c r="AB40" i="1"/>
  <c r="AB65" i="1"/>
  <c r="AB21" i="1"/>
  <c r="AB58" i="1"/>
  <c r="AB15" i="1"/>
  <c r="AB7" i="1"/>
  <c r="AB43" i="1"/>
  <c r="AB67" i="1"/>
  <c r="AB31" i="1"/>
  <c r="AB54" i="1"/>
  <c r="AB70" i="1"/>
  <c r="AB71" i="1"/>
  <c r="AB72" i="1"/>
  <c r="AB78" i="1"/>
  <c r="AB79" i="1"/>
  <c r="AB73" i="1"/>
  <c r="AB74" i="1"/>
  <c r="AB75" i="1"/>
  <c r="AB77" i="1"/>
  <c r="P5" i="2" l="1"/>
  <c r="P4" i="2"/>
  <c r="AA6" i="2"/>
  <c r="Z6" i="2"/>
  <c r="AE4" i="2"/>
  <c r="AE5" i="2"/>
  <c r="AF5" i="2" s="1"/>
  <c r="V4" i="2"/>
  <c r="V6" i="2" s="1"/>
  <c r="U6" i="2"/>
  <c r="AK4" i="2"/>
  <c r="AK6" i="2" s="1"/>
  <c r="AJ6" i="2"/>
  <c r="Q5" i="2" l="1"/>
  <c r="AN5" i="2"/>
  <c r="AP5" i="2" s="1"/>
  <c r="AN4" i="2"/>
  <c r="AP4" i="2" s="1"/>
  <c r="Q4" i="2"/>
  <c r="Q6" i="2" s="1"/>
  <c r="P6" i="2"/>
  <c r="F6" i="2"/>
  <c r="AF4" i="2"/>
  <c r="AF6" i="2" s="1"/>
  <c r="AE6" i="2"/>
  <c r="AP6" i="2" l="1"/>
  <c r="AN6" i="2"/>
  <c r="AO4" i="2"/>
  <c r="AO5" i="2"/>
  <c r="AO6" i="2" l="1"/>
  <c r="I80" i="1" l="1"/>
  <c r="I81" i="1" s="1"/>
  <c r="J80" i="1"/>
  <c r="AJ81" i="1" l="1"/>
  <c r="AK74" i="1" s="1"/>
  <c r="J81" i="1"/>
  <c r="G6" i="2" s="1"/>
  <c r="R80" i="1"/>
  <c r="R81" i="1" s="1"/>
  <c r="AK81" i="1" l="1"/>
  <c r="AK71" i="1"/>
  <c r="AK33" i="1"/>
  <c r="AK19" i="1"/>
  <c r="AK75" i="1"/>
  <c r="AK70" i="1"/>
  <c r="AK12" i="1"/>
  <c r="AK63" i="1"/>
  <c r="AK54" i="1"/>
  <c r="AK56" i="1"/>
  <c r="AK67" i="1"/>
  <c r="AK16" i="1"/>
  <c r="AK37" i="1"/>
  <c r="AK23" i="1"/>
  <c r="AK15" i="1"/>
  <c r="AK61" i="1"/>
  <c r="AK60" i="1"/>
  <c r="AK49" i="1"/>
  <c r="AK9" i="1"/>
  <c r="AK57" i="1"/>
  <c r="AK10" i="1"/>
  <c r="AK35" i="1"/>
  <c r="AK43" i="1"/>
  <c r="AK44" i="1"/>
  <c r="AK64" i="1"/>
  <c r="AK34" i="1"/>
  <c r="AK28" i="1"/>
  <c r="AK29" i="1"/>
  <c r="AK68" i="1"/>
  <c r="AK6" i="1"/>
  <c r="AK18" i="1"/>
  <c r="AK8" i="1"/>
  <c r="AK27" i="1"/>
  <c r="AK17" i="1"/>
  <c r="AK20" i="1"/>
  <c r="AK13" i="1"/>
  <c r="AK53" i="1"/>
  <c r="AK72" i="1"/>
  <c r="AK14" i="1"/>
  <c r="AK46" i="1"/>
  <c r="AK50" i="1"/>
  <c r="AK78" i="1"/>
  <c r="AK80" i="1"/>
  <c r="AK58" i="1"/>
  <c r="AK25" i="1"/>
  <c r="AK40" i="1"/>
  <c r="AK79" i="1"/>
  <c r="AK45" i="1"/>
  <c r="AK30" i="1"/>
  <c r="AK21" i="1"/>
  <c r="AK38" i="1"/>
  <c r="AK51" i="1"/>
  <c r="AK36" i="1"/>
  <c r="AK11" i="1"/>
  <c r="AK62" i="1"/>
  <c r="AK22" i="1"/>
  <c r="AK42" i="1"/>
  <c r="AK41" i="1"/>
  <c r="AK55" i="1"/>
  <c r="AK39" i="1"/>
  <c r="AK31" i="1"/>
  <c r="AK76" i="1"/>
  <c r="AK52" i="1"/>
  <c r="AK26" i="1"/>
  <c r="AK66" i="1"/>
  <c r="AK65" i="1"/>
  <c r="AK7" i="1"/>
  <c r="AK73" i="1"/>
  <c r="AK24" i="1"/>
  <c r="AK32" i="1"/>
  <c r="AK48" i="1"/>
  <c r="AK77" i="1"/>
  <c r="AK6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Vieira Ribeiro</author>
  </authors>
  <commentList>
    <comment ref="I4" authorId="0" shapeId="0" xr:uid="{00000000-0006-0000-0000-000001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Piso salarial CCT 2020 SEAC/DF x Sindiserviços/DF.</t>
        </r>
      </text>
    </comment>
    <comment ref="M4" authorId="0" shapeId="0" xr:uid="{00000000-0006-0000-0000-000002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Base 126 contratos - média valores cargos serviço apoio administrativo menos um desvio padrão.</t>
        </r>
      </text>
    </comment>
    <comment ref="Q4" authorId="0" shapeId="0" xr:uid="{00000000-0006-0000-0000-000003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Sindiserviços/DF.
</t>
        </r>
      </text>
    </comment>
    <comment ref="U4" authorId="0" shapeId="0" xr:uid="{00000000-0006-0000-0000-000004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do cargo de Recepcionista acrescido de 13,3% (mesma diferença percentual entre valores dos salários de Secretário Executivo I e Secretário Executivo II).</t>
        </r>
      </text>
    </comment>
    <comment ref="Y4" authorId="0" shapeId="0" xr:uid="{00000000-0006-0000-0000-000005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SISDF. 
</t>
        </r>
      </text>
    </comment>
    <comment ref="AC4" authorId="0" shapeId="0" xr:uid="{00000000-0006-0000-0000-000006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SISDF. 
</t>
        </r>
      </text>
    </comment>
    <comment ref="AG4" authorId="0" shapeId="0" xr:uid="{00000000-0006-0000-0000-000007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SISDF </t>
        </r>
      </text>
    </comment>
    <comment ref="E6" authorId="0" shapeId="0" xr:uid="{00000000-0006-0000-0000-000008000000}">
      <text>
        <r>
          <rPr>
            <b/>
            <sz val="10"/>
            <color rgb="FF000000"/>
            <rFont val="Tahoma"/>
            <family val="2"/>
          </rPr>
          <t xml:space="preserve">Fábio Vieira Ribeio
</t>
        </r>
        <r>
          <rPr>
            <sz val="10"/>
            <color rgb="FF000000"/>
            <rFont val="Tahoma"/>
            <family val="2"/>
          </rPr>
          <t xml:space="preserve">Considerado prazo de execução de 28 meses de execução dos serviços e 60 dias de férias no periodo. </t>
        </r>
      </text>
    </comment>
    <comment ref="D7" authorId="0" shapeId="0" xr:uid="{00000000-0006-0000-0000-000009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8.036/1990.</t>
        </r>
      </text>
    </comment>
    <comment ref="D8" authorId="0" shapeId="0" xr:uid="{00000000-0006-0000-0000-00000A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</t>
        </r>
      </text>
    </comment>
    <comment ref="D9" authorId="0" shapeId="0" xr:uid="{00000000-0006-0000-0000-00000B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 </t>
        </r>
      </text>
    </comment>
    <comment ref="D10" authorId="0" shapeId="0" xr:uid="{00000000-0006-0000-0000-00000C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1" authorId="0" shapeId="0" xr:uid="{00000000-0006-0000-0000-00000D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2" authorId="0" shapeId="0" xr:uid="{00000000-0006-0000-0000-00000E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3" authorId="0" shapeId="0" xr:uid="{00000000-0006-0000-0000-00000F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4" authorId="0" shapeId="0" xr:uid="{00000000-0006-0000-0000-000010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CNAE.</t>
        </r>
      </text>
    </comment>
    <comment ref="B16" authorId="0" shapeId="0" xr:uid="{00000000-0006-0000-0000-000011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Valores das CCT 2020 SEAC/DF x Sindiserviços/DF e CCT 2020 SEAC/DF x SISDF.</t>
        </r>
      </text>
    </comment>
    <comment ref="E17" authorId="0" shapeId="0" xr:uid="{00000000-0006-0000-0000-000012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diário.</t>
        </r>
      </text>
    </comment>
    <comment ref="E19" authorId="0" shapeId="0" xr:uid="{00000000-0006-0000-0000-000013000000}">
      <text>
        <r>
          <rPr>
            <b/>
            <sz val="10"/>
            <color rgb="FF000000"/>
            <rFont val="Tahoma"/>
            <family val="2"/>
          </rPr>
          <t xml:space="preserve">Fábio Vieira Ribeiro
</t>
        </r>
        <r>
          <rPr>
            <sz val="10"/>
            <color rgb="FF000000"/>
            <rFont val="Tahoma"/>
            <family val="2"/>
          </rPr>
          <t>Valor da CCT 2020 SEAC/DF x Sindiserviços/DF.</t>
        </r>
      </text>
    </comment>
    <comment ref="D20" authorId="0" shapeId="0" xr:uid="{00000000-0006-0000-0000-000015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conforme Decreto no 40.381/2020, do DF, e percentuais da nota do GDF "REAJUSTE DO TRANSPORTE PÚBLICO: ENTENDA CADA TARIFA" (http://www.brasilia.df.gov.br/reajuste-do-transporte-publico-entenda-cada-tarifa/).</t>
        </r>
      </text>
    </comment>
    <comment ref="E20" authorId="0" shapeId="0" xr:uid="{00000000-0006-0000-0000-000016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Valor diário para cada passagem.
</t>
        </r>
      </text>
    </comment>
    <comment ref="B22" authorId="0" shapeId="0" xr:uid="{00000000-0006-0000-0000-000017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Observado o prazo de execução dos serviços de 28 meses, considerada a quantidade de 70 dias de férias no período.</t>
        </r>
      </text>
    </comment>
    <comment ref="B42" authorId="0" shapeId="0" xr:uid="{00000000-0006-0000-0000-000018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Considerada a necessidade se substituição de empregado alocado ausente por período superior a 3 dias, no caso do serviço de recepção, ou 15 dias, nos casos de serviços de apoio administrativo e secretariado, sendo estabelecidas as estimativas de 28,1028 e 26,6339 dias de ausências anuais que necessitarão substituição, respectivamente, tendo como base os parâmetros do Estudo sobre a Composição dos Custos dos Valores Limites Serviços de Limpeza e Conservação - Distrito Federal - 2019, que na página 20 apresenta o quadro "Memória de Cálculo - Número de dias de reposição do profissional ausente para cada evento".</t>
        </r>
      </text>
    </comment>
    <comment ref="B55" authorId="0" shapeId="0" xr:uid="{00000000-0006-0000-0000-000019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Considerada a necessidade rescisão sem justa causa do contrato de trabalho de 85,43% dos empregados alocados, sendo 21,36% com indenização de aviso prévio, estimado em 33 dias, tendo como base os parâmetros do Estudo sobre a Composição dos Custos dos Valores Limites Serviços de Limpeza e Conservação - Distrito Federal - 2019, que na página 36 apresenta o quadro "Percentuais por Tipo de Desligamento". </t>
        </r>
      </text>
    </comment>
    <comment ref="E68" authorId="0" shapeId="0" xr:uid="{00000000-0006-0000-0000-00001A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Valor de 1 uniforme, correspondente à média dos valores de cada jogo de uniforme dos contratos vigentes menos 1 desvio padrão ajustada em 3,2% (reajuste CCT 2020/2020), considerado o prazo de execução dos serviços e as CCT 2020/2020 firmadas entre o SEAC/DF e o Sindiserviços e o SEAC/DF e o SISDF, sendo que a primeira prevê 2 jogos de unformes no início da alocação do empregado e 1 jogo completo a cada 6 meses (6 no total) e a segunda prevê 2 jogos no início e 2 jogos a cada 6 meses (10 no total). </t>
        </r>
      </text>
    </comment>
    <comment ref="E71" authorId="0" shapeId="0" xr:uid="{00000000-0006-0000-0000-00001B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Correspondente à média dos contratos vigentes.</t>
        </r>
      </text>
    </comment>
    <comment ref="E73" authorId="0" shapeId="0" xr:uid="{00000000-0006-0000-0000-00001C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Adotando-se a sistemática de cálculo "por dentro", a Base Tributos considera os custos com os empregados, os custos indiretos e o lucro, observadas as disposições da Lei </t>
        </r>
        <r>
          <rPr>
            <sz val="10"/>
            <color rgb="FF000000"/>
            <rFont val="Calibri"/>
            <family val="2"/>
          </rPr>
          <t>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</t>
        </r>
        <r>
          <rPr>
            <sz val="10"/>
            <color rgb="FF000000"/>
            <rFont val="Tahoma"/>
            <family val="2"/>
          </rPr>
          <t>10.833/2003.</t>
        </r>
      </text>
    </comment>
    <comment ref="E74" authorId="0" shapeId="0" xr:uid="{00000000-0006-0000-0000-00001D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  <scheme val="minor"/>
          </rPr>
          <t>Adotando-se a sistemática de cálculo "por dentro", a</t>
        </r>
        <r>
          <rPr>
            <sz val="10"/>
            <color rgb="FF000000"/>
            <rFont val="Calibri"/>
            <family val="2"/>
          </rPr>
          <t xml:space="preserve"> Base Tributos considera os custos com os empregados, os custos indiretos e o lucro, observadas as disposições da Decreto DF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25.508/2005. </t>
        </r>
      </text>
    </comment>
    <comment ref="E75" authorId="0" shapeId="0" xr:uid="{00000000-0006-0000-0000-00001E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  <scheme val="minor"/>
          </rPr>
          <t xml:space="preserve">Adotando-se a sistemática de cálculo "por dentro", </t>
        </r>
        <r>
          <rPr>
            <sz val="10"/>
            <color rgb="FF000000"/>
            <rFont val="Calibri"/>
            <family val="2"/>
          </rPr>
          <t>a</t>
        </r>
        <r>
          <rPr>
            <sz val="10"/>
            <color rgb="FF000000"/>
            <rFont val="Calibri"/>
            <family val="2"/>
          </rPr>
          <t xml:space="preserve"> Base Tributos considera os custos com os empregados, os custos indiretos e o lucro, observadas as disposições da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10.637/2002. 
</t>
        </r>
      </text>
    </comment>
    <comment ref="E78" authorId="0" shapeId="0" xr:uid="{00000000-0006-0000-0000-00001F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Correspondente à média dos contratos vigentes.
</t>
        </r>
      </text>
    </comment>
  </commentList>
</comments>
</file>

<file path=xl/sharedStrings.xml><?xml version="1.0" encoding="utf-8"?>
<sst xmlns="http://schemas.openxmlformats.org/spreadsheetml/2006/main" count="359" uniqueCount="207">
  <si>
    <t>Descrição</t>
  </si>
  <si>
    <t>A</t>
  </si>
  <si>
    <t>Salário</t>
  </si>
  <si>
    <t>B</t>
  </si>
  <si>
    <t>C</t>
  </si>
  <si>
    <t>D</t>
  </si>
  <si>
    <t>E</t>
  </si>
  <si>
    <t>Subtotal</t>
  </si>
  <si>
    <t>F</t>
  </si>
  <si>
    <t>FGTS</t>
  </si>
  <si>
    <t>G</t>
  </si>
  <si>
    <t>H</t>
  </si>
  <si>
    <t>Previdência Social</t>
  </si>
  <si>
    <t>I</t>
  </si>
  <si>
    <t>Salário Educação</t>
  </si>
  <si>
    <t>J</t>
  </si>
  <si>
    <t>GIIL-RAT</t>
  </si>
  <si>
    <t>K</t>
  </si>
  <si>
    <t>L</t>
  </si>
  <si>
    <t>M</t>
  </si>
  <si>
    <t>N</t>
  </si>
  <si>
    <t>O</t>
  </si>
  <si>
    <t>Assistência Odontológica</t>
  </si>
  <si>
    <t>P</t>
  </si>
  <si>
    <t>Auxílio Alimentação</t>
  </si>
  <si>
    <t>Q</t>
  </si>
  <si>
    <t>Plano de Saúde</t>
  </si>
  <si>
    <t>R</t>
  </si>
  <si>
    <t>Seguro de Vida/Assistência Funeral</t>
  </si>
  <si>
    <t>Vale-transporte</t>
  </si>
  <si>
    <t>T</t>
  </si>
  <si>
    <t>U</t>
  </si>
  <si>
    <t>Rescisão de Contrato</t>
  </si>
  <si>
    <t>V</t>
  </si>
  <si>
    <t>W</t>
  </si>
  <si>
    <t>Y</t>
  </si>
  <si>
    <t>Auxiliar Administrativo</t>
  </si>
  <si>
    <t>Assistente Administrativo</t>
  </si>
  <si>
    <t>Recepcionista</t>
  </si>
  <si>
    <t>Recepcionista Bilíngue</t>
  </si>
  <si>
    <t>Secretário Executivo I</t>
  </si>
  <si>
    <t>Secretário Executivo II</t>
  </si>
  <si>
    <t>Técnico em Secretariado</t>
  </si>
  <si>
    <t>13º Salário</t>
  </si>
  <si>
    <t>Aviso Prévio Indenizado</t>
  </si>
  <si>
    <t>Multa FGTS</t>
  </si>
  <si>
    <t>Z</t>
  </si>
  <si>
    <t>%</t>
  </si>
  <si>
    <t>13º Salário - Aviso Prévio Indenizado</t>
  </si>
  <si>
    <t>AA</t>
  </si>
  <si>
    <t>AB</t>
  </si>
  <si>
    <t>Grupo</t>
  </si>
  <si>
    <t>Benefícios</t>
  </si>
  <si>
    <t>Postos</t>
  </si>
  <si>
    <t>Total</t>
  </si>
  <si>
    <t>Uniforme</t>
  </si>
  <si>
    <t>AC</t>
  </si>
  <si>
    <t>AD</t>
  </si>
  <si>
    <t>Custos Indiretos</t>
  </si>
  <si>
    <t>AE</t>
  </si>
  <si>
    <t>AF</t>
  </si>
  <si>
    <t>AG</t>
  </si>
  <si>
    <t>AH</t>
  </si>
  <si>
    <t>AI</t>
  </si>
  <si>
    <t>COFINS</t>
  </si>
  <si>
    <t>PIS</t>
  </si>
  <si>
    <t>ISS</t>
  </si>
  <si>
    <t>AJ</t>
  </si>
  <si>
    <t>AK</t>
  </si>
  <si>
    <t>AL</t>
  </si>
  <si>
    <t>Lucro</t>
  </si>
  <si>
    <t>Total Geral</t>
  </si>
  <si>
    <t>CITL</t>
  </si>
  <si>
    <t>A*8%</t>
  </si>
  <si>
    <t>A*2,5%</t>
  </si>
  <si>
    <t>Férias</t>
  </si>
  <si>
    <t>Item</t>
  </si>
  <si>
    <t>Substituição Temporária</t>
  </si>
  <si>
    <t>Pagamento</t>
  </si>
  <si>
    <t>Fato Gerador</t>
  </si>
  <si>
    <t>AM</t>
  </si>
  <si>
    <t>AN</t>
  </si>
  <si>
    <t>Salário/12/28</t>
  </si>
  <si>
    <t>(Salário + Salário/3)/12/28</t>
  </si>
  <si>
    <t>Mensal</t>
  </si>
  <si>
    <t>Mensal e Fato Gerador</t>
  </si>
  <si>
    <t>AO</t>
  </si>
  <si>
    <t>AP</t>
  </si>
  <si>
    <t>Subtotal Custo Empregados</t>
  </si>
  <si>
    <t>AQ</t>
  </si>
  <si>
    <t>AR</t>
  </si>
  <si>
    <t>AS</t>
  </si>
  <si>
    <t>AT</t>
  </si>
  <si>
    <t>AU</t>
  </si>
  <si>
    <t>AV</t>
  </si>
  <si>
    <t>AW</t>
  </si>
  <si>
    <t>Subtotal CITL</t>
  </si>
  <si>
    <t>Lote</t>
  </si>
  <si>
    <t>Data Contratação</t>
  </si>
  <si>
    <t>Cargos</t>
  </si>
  <si>
    <t>INCRA</t>
  </si>
  <si>
    <t>Salário/28*26</t>
  </si>
  <si>
    <t>Salário/30*70/28</t>
  </si>
  <si>
    <t>Parâmetros Cálculo Custo Mensal</t>
  </si>
  <si>
    <t>(Salário+Salário/3)/12/28</t>
  </si>
  <si>
    <t>Férias  - Aviso Prévio Indenizado</t>
  </si>
  <si>
    <t>((Salário/30*33)*21,36%)/28</t>
  </si>
  <si>
    <t>(Salário+Salário/3)/30*70/28</t>
  </si>
  <si>
    <t>AY</t>
  </si>
  <si>
    <t>AZ</t>
  </si>
  <si>
    <t>BA</t>
  </si>
  <si>
    <t>Valor (R$)</t>
  </si>
  <si>
    <t>-</t>
  </si>
  <si>
    <t>Quantidade</t>
  </si>
  <si>
    <t>SENAC</t>
  </si>
  <si>
    <t>SESC</t>
  </si>
  <si>
    <t>SEBRAE</t>
  </si>
  <si>
    <t>A*0,2%</t>
  </si>
  <si>
    <t>A*1%</t>
  </si>
  <si>
    <t>A*1,5%</t>
  </si>
  <si>
    <t>A*0,6%</t>
  </si>
  <si>
    <t>A+B+C+D+E+F+G+H+I</t>
  </si>
  <si>
    <t>K+L+M+N+O</t>
  </si>
  <si>
    <t>S</t>
  </si>
  <si>
    <t>Q*8%</t>
  </si>
  <si>
    <t>Q*0,2%</t>
  </si>
  <si>
    <t>Q*1%</t>
  </si>
  <si>
    <t>Q*1,5%</t>
  </si>
  <si>
    <t>Q*0,6%</t>
  </si>
  <si>
    <t>Q*2,5%</t>
  </si>
  <si>
    <t>Q+R+S+T+U+U+V+W+Y+Z</t>
  </si>
  <si>
    <t>AB+AC+AD+AE+AF+AG+AH+AI+AJ</t>
  </si>
  <si>
    <t>AB*8%</t>
  </si>
  <si>
    <t>AB*2,5%</t>
  </si>
  <si>
    <t>AB*O,2%</t>
  </si>
  <si>
    <t>AB*1%</t>
  </si>
  <si>
    <t>AB*1,5%</t>
  </si>
  <si>
    <t>AB*0,6%</t>
  </si>
  <si>
    <t>AL+AM+AN+AO+AP+AQ+AR+AS+AT+AU+AV+AW</t>
  </si>
  <si>
    <t>(AL+AN+AO)*8%</t>
  </si>
  <si>
    <t>(AL+AN+AO)*O,2%</t>
  </si>
  <si>
    <t>(AL+AN+AO)*1%</t>
  </si>
  <si>
    <t>(AL+AN+AO)*1,5%</t>
  </si>
  <si>
    <t>(AL+AN+AO)*0,6%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</si>
  <si>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</si>
  <si>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</si>
  <si>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</si>
  <si>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</si>
  <si>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</si>
  <si>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</si>
  <si>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</si>
  <si>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</si>
  <si>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</si>
  <si>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</si>
  <si>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</si>
  <si>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AZ+BA+BB+BC+BD+BE+BF+BG+BH+BI+BJ+BK</t>
  </si>
  <si>
    <t>(AZ+BB)*8%</t>
  </si>
  <si>
    <t>(AZ+BB)*2,5%</t>
  </si>
  <si>
    <t>(AZ+BB)*O,2%</t>
  </si>
  <si>
    <t>(AZ+BB)*1%</t>
  </si>
  <si>
    <t>(AZ+BB)*1,5%</t>
  </si>
  <si>
    <t>(AZ+BB)*0,6%</t>
  </si>
  <si>
    <t>BM</t>
  </si>
  <si>
    <t>BN</t>
  </si>
  <si>
    <t>BO</t>
  </si>
  <si>
    <t>BP</t>
  </si>
  <si>
    <t>BQ</t>
  </si>
  <si>
    <t>BR</t>
  </si>
  <si>
    <t>BS</t>
  </si>
  <si>
    <t>BT</t>
  </si>
  <si>
    <t>BU</t>
  </si>
  <si>
    <t>BV</t>
  </si>
  <si>
    <t>Salário/30*((26,6339 ou 28,1028)*28/12)/28</t>
  </si>
  <si>
    <t>P/30*((26,6339 ou 28,1028)*28/12)/28</t>
  </si>
  <si>
    <t>((B+R+AC+AP+BC)*40%)*85,43%</t>
  </si>
  <si>
    <t>Órgão ou Entidade</t>
  </si>
  <si>
    <t>Valor do Posto (R$)</t>
  </si>
  <si>
    <t>Unidade</t>
  </si>
  <si>
    <t>Anual                      (12 meses)</t>
  </si>
  <si>
    <t>Total                       (28 meses)</t>
  </si>
  <si>
    <t>Subtotal Mensal (R$)</t>
  </si>
  <si>
    <t>Subtotal 28 Meses (R$)</t>
  </si>
  <si>
    <t>Posto</t>
  </si>
  <si>
    <t>Valor Mensal Unitário (R$)</t>
  </si>
  <si>
    <t>Valor Mensal Total (R$)</t>
  </si>
  <si>
    <t>Valor Total (R$)</t>
  </si>
  <si>
    <t>Valor  Total (R$)</t>
  </si>
  <si>
    <t>Base Tributos * 5,00%</t>
  </si>
  <si>
    <t>Planilha de Custos e Formação de Preços</t>
  </si>
  <si>
    <t xml:space="preserve">Sugere-se que a orientação da SEGES "Orientações sobre PIS e COFINS em contratações de prestação de serviços, com dedicação exclusiva de mão de obra", abaixo transcrita, disponível em https://www.gov.br/compras/pt-br/acesso-a-informacao/noticias/orientacoes-incidencia-nao-cumulativa-pis-cofins,  seja apresentada com uma nota do Quadro 8 do modelo de proposta, Anexo II do Edital. </t>
  </si>
  <si>
    <t>"Secretaria de Gestão orienta os órgãos e entidades integrantes do Sistema de Serviços Gerais (Sisg) sobre o aproveitamento de créditos tributários nas contratações de prestação de serviços continuados, com dedicação exclusiva de mão de obra, celebradas com empresas optantes pelo regime de lucro real (com direito à incidência não cumulativa de contribuições ao PIS e COFINS).
Na elaboração dos termos de referência e editais, os órgãos e entidades deverão exigir que os licitantes, quando tributados pelo regime de incidência não-cumulativa de PIS e COFINS, cotem na planilha de custos e formação de preços (que detalham os componentes dos seus custos) as alíquotas médias efetivamente recolhidas dessas contribuições.
Isso porque as empresas submetidas a tal regime, conforme normativos vigentes(1), podem realizar o abatimento de créditos apurados com base em custos, despesas e encargos, tais como insumos, aluguéis de máquinas e equipamentos, vale transporte, dentre outros, fazendo com que os valores dos tributos efetivamente recolhidos sejam inferiores às alíquotas de 1,65% (PIS) e 7,60% (COFINS).
Para a comprovação das alíquotas médias efetivas, poderão ser exigidos os documentos de Escrituração Fiscal Digital da Contribuição (EFD-Contribuições) para o PIS/PASEP e COFINS dos últimos 12 (doze) meses anteriores à apresentação da proposta, ou outro meio hábil, em que seja possível demonstrar as alíquotas médias efetivas.
A comprovação das alíquotas médias efetivas deverá ser feita no momento da repactuação ou da renovação contratual a fim de se promover os ajustes necessários decorrentes das oscilações dos custos efetivos de PIS e COFINS.</t>
  </si>
  <si>
    <t>A*3%</t>
  </si>
  <si>
    <t>AB*3%</t>
  </si>
  <si>
    <t>Q*3%</t>
  </si>
  <si>
    <t>(AZ+BB)*3%</t>
  </si>
  <si>
    <t>Base Tributos * 0,68%</t>
  </si>
  <si>
    <t>Base Tributos * 0,15%</t>
  </si>
  <si>
    <t>CPRB</t>
  </si>
  <si>
    <t>Lei nº 12.546/2011 - 4,5%</t>
  </si>
  <si>
    <t>BX</t>
  </si>
  <si>
    <t>BQ+BR+BS+BT</t>
  </si>
  <si>
    <t>(AL+AN+AO)*2,5%</t>
  </si>
  <si>
    <t>(AL+AN+AO)*3%</t>
  </si>
  <si>
    <t>Subtotal Custo Empregados * % variado</t>
  </si>
  <si>
    <t xml:space="preserve">(Subtotal Custo Empregados+BP)*% variado) </t>
  </si>
  <si>
    <t>MI</t>
  </si>
  <si>
    <t>ENAP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</si>
</sst>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\ #,##0.00"/>
    <numFmt numFmtId="165" formatCode="0.0000"/>
    <numFmt numFmtId="166" formatCode="#,##0.0000_ ;[Red]\-#,##0.0000\ "/>
    <numFmt numFmtId="167" formatCode="dd/mm/yy;@"/>
  </numFmts>
  <fonts count="15" x14ac:knownFonts="1">
    <font>
      <sz val="12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</font>
    <font>
      <vertAlign val="superscript"/>
      <sz val="10"/>
      <color rgb="FF000000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6"/>
      <color rgb="FF000000"/>
      <name val="Arial"/>
      <family val="2"/>
    </font>
    <font>
      <sz val="6"/>
      <color theme="1"/>
      <name val="Arial"/>
      <family val="2"/>
    </font>
    <font>
      <sz val="6"/>
      <color rgb="FF000000"/>
      <name val="Arial"/>
      <family val="2"/>
    </font>
    <font>
      <sz val="12"/>
      <color rgb="FF55555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8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right" vertical="center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4" fontId="6" fillId="3" borderId="1" xfId="0" applyNumberFormat="1" applyFont="1" applyFill="1" applyBorder="1" applyAlignment="1">
      <alignment horizontal="right" vertical="center"/>
    </xf>
    <xf numFmtId="164" fontId="8" fillId="0" borderId="0" xfId="0" applyNumberFormat="1" applyFont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/>
    </xf>
    <xf numFmtId="165" fontId="8" fillId="0" borderId="0" xfId="0" applyNumberFormat="1" applyFont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10" fillId="3" borderId="1" xfId="0" applyNumberFormat="1" applyFont="1" applyFill="1" applyBorder="1" applyAlignment="1">
      <alignment vertical="center"/>
    </xf>
    <xf numFmtId="8" fontId="8" fillId="0" borderId="0" xfId="0" applyNumberFormat="1" applyFont="1" applyAlignment="1">
      <alignment vertical="center"/>
    </xf>
    <xf numFmtId="10" fontId="8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12" fillId="0" borderId="0" xfId="0" applyFont="1"/>
    <xf numFmtId="3" fontId="13" fillId="4" borderId="1" xfId="0" applyNumberFormat="1" applyFont="1" applyFill="1" applyBorder="1" applyAlignment="1">
      <alignment horizontal="right" vertical="center" wrapText="1"/>
    </xf>
    <xf numFmtId="167" fontId="13" fillId="4" borderId="1" xfId="0" applyNumberFormat="1" applyFont="1" applyFill="1" applyBorder="1" applyAlignment="1">
      <alignment horizontal="center" vertical="center"/>
    </xf>
    <xf numFmtId="167" fontId="13" fillId="4" borderId="1" xfId="0" applyNumberFormat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3" fontId="11" fillId="3" borderId="1" xfId="0" applyNumberFormat="1" applyFont="1" applyFill="1" applyBorder="1" applyAlignment="1">
      <alignment horizontal="right" vertical="center" wrapText="1"/>
    </xf>
    <xf numFmtId="4" fontId="12" fillId="0" borderId="0" xfId="0" applyNumberFormat="1" applyFont="1"/>
    <xf numFmtId="167" fontId="12" fillId="0" borderId="0" xfId="0" applyNumberFormat="1" applyFont="1" applyAlignment="1">
      <alignment horizontal="center"/>
    </xf>
    <xf numFmtId="44" fontId="12" fillId="0" borderId="0" xfId="0" applyNumberFormat="1" applyFont="1"/>
    <xf numFmtId="4" fontId="11" fillId="3" borderId="1" xfId="0" applyNumberFormat="1" applyFont="1" applyFill="1" applyBorder="1" applyAlignment="1">
      <alignment horizontal="center" vertical="center" wrapText="1"/>
    </xf>
    <xf numFmtId="167" fontId="11" fillId="3" borderId="1" xfId="0" applyNumberFormat="1" applyFont="1" applyFill="1" applyBorder="1" applyAlignment="1">
      <alignment horizontal="center" vertical="center" textRotation="90" wrapText="1"/>
    </xf>
    <xf numFmtId="3" fontId="12" fillId="0" borderId="0" xfId="0" applyNumberFormat="1" applyFont="1"/>
    <xf numFmtId="0" fontId="11" fillId="3" borderId="1" xfId="0" applyFont="1" applyFill="1" applyBorder="1" applyAlignment="1">
      <alignment horizontal="right" vertical="center" textRotation="90" wrapText="1"/>
    </xf>
    <xf numFmtId="0" fontId="12" fillId="0" borderId="0" xfId="0" applyFont="1" applyAlignment="1">
      <alignment horizontal="right"/>
    </xf>
    <xf numFmtId="4" fontId="8" fillId="0" borderId="1" xfId="0" applyNumberFormat="1" applyFont="1" applyBorder="1" applyAlignment="1">
      <alignment horizontal="right" vertical="center"/>
    </xf>
    <xf numFmtId="10" fontId="9" fillId="0" borderId="1" xfId="0" applyNumberFormat="1" applyFont="1" applyFill="1" applyBorder="1" applyAlignment="1">
      <alignment horizontal="right" vertical="center"/>
    </xf>
    <xf numFmtId="10" fontId="6" fillId="3" borderId="1" xfId="0" applyNumberFormat="1" applyFont="1" applyFill="1" applyBorder="1" applyAlignment="1">
      <alignment horizontal="right" vertical="center"/>
    </xf>
    <xf numFmtId="10" fontId="9" fillId="4" borderId="1" xfId="0" applyNumberFormat="1" applyFont="1" applyFill="1" applyBorder="1" applyAlignment="1">
      <alignment horizontal="right" vertical="center"/>
    </xf>
    <xf numFmtId="10" fontId="8" fillId="0" borderId="1" xfId="0" applyNumberFormat="1" applyFont="1" applyBorder="1" applyAlignment="1">
      <alignment vertical="center"/>
    </xf>
    <xf numFmtId="10" fontId="7" fillId="3" borderId="1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right" vertical="center"/>
    </xf>
    <xf numFmtId="10" fontId="10" fillId="3" borderId="1" xfId="0" applyNumberFormat="1" applyFont="1" applyFill="1" applyBorder="1" applyAlignment="1">
      <alignment vertical="center"/>
    </xf>
    <xf numFmtId="4" fontId="13" fillId="4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textRotation="90" wrapText="1"/>
    </xf>
    <xf numFmtId="3" fontId="11" fillId="3" borderId="1" xfId="0" applyNumberFormat="1" applyFont="1" applyFill="1" applyBorder="1" applyAlignment="1">
      <alignment horizontal="center" vertical="center" textRotation="90" wrapText="1"/>
    </xf>
    <xf numFmtId="4" fontId="11" fillId="3" borderId="1" xfId="0" applyNumberFormat="1" applyFont="1" applyFill="1" applyBorder="1" applyAlignment="1">
      <alignment horizontal="center" vertical="center"/>
    </xf>
    <xf numFmtId="0" fontId="14" fillId="0" borderId="0" xfId="0" applyFont="1"/>
    <xf numFmtId="0" fontId="8" fillId="4" borderId="0" xfId="0" applyFont="1" applyFill="1" applyAlignment="1">
      <alignment vertical="center"/>
    </xf>
    <xf numFmtId="4" fontId="8" fillId="4" borderId="0" xfId="0" applyNumberFormat="1" applyFont="1" applyFill="1" applyAlignment="1">
      <alignment vertical="center"/>
    </xf>
    <xf numFmtId="4" fontId="13" fillId="4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top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9" fontId="9" fillId="4" borderId="4" xfId="0" applyNumberFormat="1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8" fontId="9" fillId="4" borderId="4" xfId="0" applyNumberFormat="1" applyFont="1" applyFill="1" applyBorder="1" applyAlignment="1">
      <alignment horizontal="center" vertical="center"/>
    </xf>
    <xf numFmtId="8" fontId="9" fillId="4" borderId="5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/>
    </xf>
    <xf numFmtId="9" fontId="8" fillId="0" borderId="5" xfId="0" applyNumberFormat="1" applyFont="1" applyBorder="1" applyAlignment="1">
      <alignment horizontal="center" vertical="center"/>
    </xf>
    <xf numFmtId="10" fontId="8" fillId="0" borderId="4" xfId="0" applyNumberFormat="1" applyFont="1" applyBorder="1" applyAlignment="1">
      <alignment horizontal="center" vertical="center"/>
    </xf>
    <xf numFmtId="10" fontId="8" fillId="0" borderId="5" xfId="0" applyNumberFormat="1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166" fontId="9" fillId="4" borderId="4" xfId="0" applyNumberFormat="1" applyFont="1" applyFill="1" applyBorder="1" applyAlignment="1">
      <alignment horizontal="center" vertical="center"/>
    </xf>
    <xf numFmtId="166" fontId="9" fillId="4" borderId="5" xfId="0" applyNumberFormat="1" applyFont="1" applyFill="1" applyBorder="1" applyAlignment="1">
      <alignment horizontal="center" vertical="center"/>
    </xf>
    <xf numFmtId="166" fontId="9" fillId="0" borderId="4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9" fontId="9" fillId="4" borderId="4" xfId="0" applyNumberFormat="1" applyFont="1" applyFill="1" applyBorder="1" applyAlignment="1">
      <alignment horizontal="center" vertical="center"/>
    </xf>
    <xf numFmtId="9" fontId="9" fillId="4" borderId="5" xfId="0" applyNumberFormat="1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8" fontId="9" fillId="0" borderId="4" xfId="0" applyNumberFormat="1" applyFont="1" applyFill="1" applyBorder="1" applyAlignment="1">
      <alignment horizontal="center" vertical="center"/>
    </xf>
    <xf numFmtId="8" fontId="9" fillId="0" borderId="5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textRotation="90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4" fontId="13" fillId="4" borderId="2" xfId="0" applyNumberFormat="1" applyFont="1" applyFill="1" applyBorder="1" applyAlignment="1">
      <alignment horizontal="right" vertical="center" wrapText="1"/>
    </xf>
    <xf numFmtId="4" fontId="13" fillId="4" borderId="3" xfId="0" applyNumberFormat="1" applyFont="1" applyFill="1" applyBorder="1" applyAlignment="1">
      <alignment horizontal="right" vertical="center" wrapText="1"/>
    </xf>
    <xf numFmtId="0" fontId="11" fillId="3" borderId="2" xfId="0" applyFont="1" applyFill="1" applyBorder="1" applyAlignment="1">
      <alignment vertical="center" textRotation="90" wrapText="1"/>
    </xf>
    <xf numFmtId="0" fontId="11" fillId="3" borderId="8" xfId="0" applyFont="1" applyFill="1" applyBorder="1" applyAlignment="1">
      <alignment vertical="center" textRotation="90" wrapText="1"/>
    </xf>
    <xf numFmtId="0" fontId="11" fillId="3" borderId="3" xfId="0" applyFont="1" applyFill="1" applyBorder="1" applyAlignment="1">
      <alignment vertical="center" textRotation="90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 textRotation="90" wrapText="1"/>
    </xf>
    <xf numFmtId="4" fontId="11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93"/>
  <sheetViews>
    <sheetView topLeftCell="AA58" workbookViewId="0">
      <selection activeCell="AI76" sqref="AI76"/>
    </sheetView>
  </sheetViews>
  <sheetFormatPr defaultColWidth="10.8984375" defaultRowHeight="13.2" x14ac:dyDescent="0.3"/>
  <cols>
    <col min="1" max="2" width="11.8984375" style="1" customWidth="1"/>
    <col min="3" max="3" width="4.59765625" style="2" bestFit="1" customWidth="1"/>
    <col min="4" max="4" width="29.09765625" style="1" bestFit="1" customWidth="1"/>
    <col min="5" max="5" width="17.09765625" style="1" customWidth="1"/>
    <col min="6" max="6" width="22" style="1" customWidth="1"/>
    <col min="7" max="7" width="11.8984375" style="1" customWidth="1"/>
    <col min="8" max="8" width="8.09765625" style="27" customWidth="1"/>
    <col min="9" max="9" width="12.59765625" style="1" customWidth="1"/>
    <col min="10" max="10" width="13.59765625" style="1" customWidth="1"/>
    <col min="11" max="11" width="11.8984375" style="1" customWidth="1"/>
    <col min="12" max="12" width="8.09765625" style="27" customWidth="1"/>
    <col min="13" max="13" width="12.59765625" style="1" customWidth="1"/>
    <col min="14" max="14" width="13.59765625" style="1" customWidth="1"/>
    <col min="15" max="15" width="11.8984375" style="1" customWidth="1"/>
    <col min="16" max="16" width="8.09765625" style="27" customWidth="1"/>
    <col min="17" max="17" width="12.59765625" style="1" customWidth="1"/>
    <col min="18" max="18" width="13.59765625" style="1" customWidth="1"/>
    <col min="19" max="19" width="11.8984375" style="1" customWidth="1"/>
    <col min="20" max="20" width="8.09765625" style="27" customWidth="1"/>
    <col min="21" max="21" width="12.59765625" style="1" customWidth="1"/>
    <col min="22" max="22" width="13.59765625" style="1" customWidth="1"/>
    <col min="23" max="23" width="11.8984375" style="1" customWidth="1"/>
    <col min="24" max="24" width="8.09765625" style="27" customWidth="1"/>
    <col min="25" max="25" width="12.59765625" style="1" customWidth="1"/>
    <col min="26" max="26" width="13.59765625" style="1" customWidth="1"/>
    <col min="27" max="27" width="11.8984375" style="1" customWidth="1"/>
    <col min="28" max="28" width="8.09765625" style="27" customWidth="1"/>
    <col min="29" max="29" width="12.59765625" style="1" customWidth="1"/>
    <col min="30" max="30" width="13.59765625" style="1" customWidth="1"/>
    <col min="31" max="31" width="11.8984375" style="1" customWidth="1"/>
    <col min="32" max="32" width="8.09765625" style="27" customWidth="1"/>
    <col min="33" max="33" width="12.59765625" style="1" customWidth="1"/>
    <col min="34" max="34" width="13.59765625" style="1" customWidth="1"/>
    <col min="35" max="35" width="12.59765625" style="3" bestFit="1" customWidth="1"/>
    <col min="36" max="36" width="15.09765625" style="3" bestFit="1" customWidth="1"/>
    <col min="37" max="37" width="8.09765625" style="27" customWidth="1"/>
    <col min="38" max="38" width="13" style="1" bestFit="1" customWidth="1"/>
    <col min="39" max="41" width="10.8984375" style="1"/>
    <col min="42" max="42" width="10.8984375" style="3"/>
    <col min="43" max="16384" width="10.8984375" style="1"/>
  </cols>
  <sheetData>
    <row r="1" spans="1:37" ht="15.9" customHeight="1" x14ac:dyDescent="0.3">
      <c r="A1" s="115" t="s">
        <v>188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</row>
    <row r="2" spans="1:37" ht="15" customHeight="1" x14ac:dyDescent="0.3">
      <c r="A2" s="69" t="s">
        <v>78</v>
      </c>
      <c r="B2" s="113" t="s">
        <v>51</v>
      </c>
      <c r="C2" s="113" t="s">
        <v>76</v>
      </c>
      <c r="D2" s="113" t="s">
        <v>0</v>
      </c>
      <c r="E2" s="88" t="s">
        <v>103</v>
      </c>
      <c r="F2" s="89"/>
      <c r="G2" s="94" t="s">
        <v>36</v>
      </c>
      <c r="H2" s="95"/>
      <c r="I2" s="95"/>
      <c r="J2" s="96"/>
      <c r="K2" s="94" t="s">
        <v>37</v>
      </c>
      <c r="L2" s="95"/>
      <c r="M2" s="95"/>
      <c r="N2" s="96"/>
      <c r="O2" s="94" t="s">
        <v>38</v>
      </c>
      <c r="P2" s="95"/>
      <c r="Q2" s="95"/>
      <c r="R2" s="96"/>
      <c r="S2" s="94" t="s">
        <v>39</v>
      </c>
      <c r="T2" s="95"/>
      <c r="U2" s="95"/>
      <c r="V2" s="96"/>
      <c r="W2" s="94" t="s">
        <v>40</v>
      </c>
      <c r="X2" s="95"/>
      <c r="Y2" s="95"/>
      <c r="Z2" s="96"/>
      <c r="AA2" s="94" t="s">
        <v>41</v>
      </c>
      <c r="AB2" s="95"/>
      <c r="AC2" s="95"/>
      <c r="AD2" s="96"/>
      <c r="AE2" s="94" t="s">
        <v>42</v>
      </c>
      <c r="AF2" s="95"/>
      <c r="AG2" s="95"/>
      <c r="AH2" s="96"/>
      <c r="AI2" s="113" t="s">
        <v>54</v>
      </c>
      <c r="AJ2" s="113"/>
      <c r="AK2" s="113"/>
    </row>
    <row r="3" spans="1:37" ht="15" customHeight="1" x14ac:dyDescent="0.3">
      <c r="A3" s="69"/>
      <c r="B3" s="113"/>
      <c r="C3" s="113"/>
      <c r="D3" s="113"/>
      <c r="E3" s="90"/>
      <c r="F3" s="91"/>
      <c r="G3" s="94" t="s">
        <v>53</v>
      </c>
      <c r="H3" s="96"/>
      <c r="I3" s="82" t="s">
        <v>2</v>
      </c>
      <c r="J3" s="83"/>
      <c r="K3" s="94" t="s">
        <v>53</v>
      </c>
      <c r="L3" s="96"/>
      <c r="M3" s="82" t="s">
        <v>2</v>
      </c>
      <c r="N3" s="83"/>
      <c r="O3" s="94" t="s">
        <v>53</v>
      </c>
      <c r="P3" s="96"/>
      <c r="Q3" s="82" t="s">
        <v>2</v>
      </c>
      <c r="R3" s="83"/>
      <c r="S3" s="94" t="s">
        <v>53</v>
      </c>
      <c r="T3" s="96"/>
      <c r="U3" s="82" t="s">
        <v>2</v>
      </c>
      <c r="V3" s="83"/>
      <c r="W3" s="94" t="s">
        <v>53</v>
      </c>
      <c r="X3" s="96"/>
      <c r="Y3" s="82" t="s">
        <v>2</v>
      </c>
      <c r="Z3" s="83"/>
      <c r="AA3" s="94" t="s">
        <v>53</v>
      </c>
      <c r="AB3" s="96"/>
      <c r="AC3" s="82" t="s">
        <v>2</v>
      </c>
      <c r="AD3" s="83"/>
      <c r="AE3" s="94" t="s">
        <v>53</v>
      </c>
      <c r="AF3" s="96"/>
      <c r="AG3" s="82" t="s">
        <v>2</v>
      </c>
      <c r="AH3" s="83"/>
      <c r="AI3" s="81" t="s">
        <v>53</v>
      </c>
      <c r="AJ3" s="81"/>
      <c r="AK3" s="114" t="s">
        <v>47</v>
      </c>
    </row>
    <row r="4" spans="1:37" ht="15" customHeight="1" x14ac:dyDescent="0.3">
      <c r="A4" s="69"/>
      <c r="B4" s="113"/>
      <c r="C4" s="113"/>
      <c r="D4" s="113"/>
      <c r="E4" s="90"/>
      <c r="F4" s="91"/>
      <c r="G4" s="82"/>
      <c r="H4" s="83"/>
      <c r="I4" s="84">
        <v>1278.71</v>
      </c>
      <c r="J4" s="85"/>
      <c r="K4" s="82">
        <v>244</v>
      </c>
      <c r="L4" s="83"/>
      <c r="M4" s="84">
        <v>2469</v>
      </c>
      <c r="N4" s="85"/>
      <c r="O4" s="82">
        <v>27</v>
      </c>
      <c r="P4" s="83"/>
      <c r="Q4" s="84">
        <v>1826.64</v>
      </c>
      <c r="R4" s="85"/>
      <c r="S4" s="82">
        <v>0</v>
      </c>
      <c r="T4" s="83"/>
      <c r="U4" s="84">
        <v>2069.6</v>
      </c>
      <c r="V4" s="85"/>
      <c r="W4" s="82">
        <v>53</v>
      </c>
      <c r="X4" s="83"/>
      <c r="Y4" s="84">
        <v>4440</v>
      </c>
      <c r="Z4" s="85"/>
      <c r="AA4" s="82"/>
      <c r="AB4" s="83"/>
      <c r="AC4" s="84">
        <v>5030</v>
      </c>
      <c r="AD4" s="85"/>
      <c r="AE4" s="82">
        <v>78</v>
      </c>
      <c r="AF4" s="83"/>
      <c r="AG4" s="84">
        <v>2220</v>
      </c>
      <c r="AH4" s="85"/>
      <c r="AI4" s="81">
        <f>G4+K4+O4+S4+W4+AA4+AE4</f>
        <v>402</v>
      </c>
      <c r="AJ4" s="81"/>
      <c r="AK4" s="114"/>
    </row>
    <row r="5" spans="1:37" ht="26.4" x14ac:dyDescent="0.3">
      <c r="A5" s="69"/>
      <c r="B5" s="113"/>
      <c r="C5" s="113"/>
      <c r="D5" s="113"/>
      <c r="E5" s="92"/>
      <c r="F5" s="93"/>
      <c r="G5" s="4" t="s">
        <v>183</v>
      </c>
      <c r="H5" s="50" t="s">
        <v>47</v>
      </c>
      <c r="I5" s="4" t="s">
        <v>184</v>
      </c>
      <c r="J5" s="4" t="s">
        <v>185</v>
      </c>
      <c r="K5" s="28" t="s">
        <v>183</v>
      </c>
      <c r="L5" s="50" t="s">
        <v>47</v>
      </c>
      <c r="M5" s="28" t="s">
        <v>184</v>
      </c>
      <c r="N5" s="28" t="s">
        <v>185</v>
      </c>
      <c r="O5" s="28" t="s">
        <v>183</v>
      </c>
      <c r="P5" s="50" t="s">
        <v>47</v>
      </c>
      <c r="Q5" s="28" t="s">
        <v>184</v>
      </c>
      <c r="R5" s="28" t="s">
        <v>185</v>
      </c>
      <c r="S5" s="28" t="s">
        <v>183</v>
      </c>
      <c r="T5" s="50" t="s">
        <v>47</v>
      </c>
      <c r="U5" s="28" t="s">
        <v>184</v>
      </c>
      <c r="V5" s="28" t="s">
        <v>185</v>
      </c>
      <c r="W5" s="28" t="s">
        <v>183</v>
      </c>
      <c r="X5" s="50" t="s">
        <v>47</v>
      </c>
      <c r="Y5" s="28" t="s">
        <v>184</v>
      </c>
      <c r="Z5" s="28" t="s">
        <v>185</v>
      </c>
      <c r="AA5" s="28" t="s">
        <v>183</v>
      </c>
      <c r="AB5" s="50" t="s">
        <v>47</v>
      </c>
      <c r="AC5" s="28" t="s">
        <v>184</v>
      </c>
      <c r="AD5" s="28" t="s">
        <v>185</v>
      </c>
      <c r="AE5" s="28" t="s">
        <v>183</v>
      </c>
      <c r="AF5" s="50" t="s">
        <v>47</v>
      </c>
      <c r="AG5" s="28" t="s">
        <v>184</v>
      </c>
      <c r="AH5" s="28" t="s">
        <v>185</v>
      </c>
      <c r="AI5" s="6" t="s">
        <v>184</v>
      </c>
      <c r="AJ5" s="7" t="s">
        <v>186</v>
      </c>
      <c r="AK5" s="114"/>
    </row>
    <row r="6" spans="1:37" ht="14.1" customHeight="1" x14ac:dyDescent="0.3">
      <c r="A6" s="69" t="s">
        <v>84</v>
      </c>
      <c r="B6" s="78" t="s">
        <v>2</v>
      </c>
      <c r="C6" s="8" t="s">
        <v>1</v>
      </c>
      <c r="D6" s="9" t="s">
        <v>2</v>
      </c>
      <c r="E6" s="70" t="s">
        <v>101</v>
      </c>
      <c r="F6" s="71"/>
      <c r="G6" s="10">
        <f>I4/28*26</f>
        <v>1187.3735714285715</v>
      </c>
      <c r="H6" s="45">
        <f t="shared" ref="H6:H46" si="0">G6/$G$81</f>
        <v>0.43691891227682472</v>
      </c>
      <c r="I6" s="10">
        <f>G6*$G$4</f>
        <v>0</v>
      </c>
      <c r="J6" s="10">
        <f>I6*28</f>
        <v>0</v>
      </c>
      <c r="K6" s="10">
        <f>M4/28*26</f>
        <v>2292.6428571428573</v>
      </c>
      <c r="L6" s="45">
        <f t="shared" ref="L6:L46" si="1">K6/$K$81</f>
        <v>0.49339147285641904</v>
      </c>
      <c r="M6" s="10">
        <f>K6*$K$4</f>
        <v>559404.85714285716</v>
      </c>
      <c r="N6" s="10">
        <f>M6*28</f>
        <v>15663336</v>
      </c>
      <c r="O6" s="10">
        <f>Q4/28*26</f>
        <v>1696.1657142857143</v>
      </c>
      <c r="P6" s="45">
        <f t="shared" ref="P6:P46" si="2">O6/$O$81</f>
        <v>0.46958240518109723</v>
      </c>
      <c r="Q6" s="10">
        <f>O6*$O$4</f>
        <v>45796.474285714285</v>
      </c>
      <c r="R6" s="10">
        <f t="shared" ref="R6:R69" si="3">Q6*28</f>
        <v>1282301.28</v>
      </c>
      <c r="S6" s="10">
        <f>U4/28*26</f>
        <v>1921.7714285714285</v>
      </c>
      <c r="T6" s="45">
        <f t="shared" ref="T6:T46" si="4">S6/$S$81</f>
        <v>0.47321884001931325</v>
      </c>
      <c r="U6" s="10">
        <f>S6*$S$4</f>
        <v>0</v>
      </c>
      <c r="V6" s="10">
        <f>U6*28</f>
        <v>0</v>
      </c>
      <c r="W6" s="10">
        <f>Y4/28*26</f>
        <v>4122.8571428571431</v>
      </c>
      <c r="X6" s="45">
        <f t="shared" ref="X6:X46" si="5">W6/$W$81</f>
        <v>0.53704713536410931</v>
      </c>
      <c r="Y6" s="10">
        <f>W6*$W$4</f>
        <v>218511.42857142858</v>
      </c>
      <c r="Z6" s="10">
        <f>Y6*28</f>
        <v>6118320</v>
      </c>
      <c r="AA6" s="10">
        <f>AC4/28*26</f>
        <v>4670.7142857142853</v>
      </c>
      <c r="AB6" s="45">
        <f t="shared" ref="AB6:AB46" si="6">AA6/$AA$81</f>
        <v>0.52586638366341754</v>
      </c>
      <c r="AC6" s="10">
        <f>AA6*$AA$4</f>
        <v>0</v>
      </c>
      <c r="AD6" s="10">
        <f>AC6*28</f>
        <v>0</v>
      </c>
      <c r="AE6" s="10">
        <f>AG4/28*26</f>
        <v>2061.4285714285716</v>
      </c>
      <c r="AF6" s="45">
        <f t="shared" ref="AF6:AF46" si="7">AE6/$AE$81</f>
        <v>0.48519786299472439</v>
      </c>
      <c r="AG6" s="10">
        <f>AE6*$AE$4</f>
        <v>160791.42857142858</v>
      </c>
      <c r="AH6" s="10">
        <f>AG6*28</f>
        <v>4502160</v>
      </c>
      <c r="AI6" s="10">
        <f>I6+M6+Q6+U6+Y6+AC6+AG6</f>
        <v>984504.18857142865</v>
      </c>
      <c r="AJ6" s="10">
        <f>AI6*28</f>
        <v>27566117.280000001</v>
      </c>
      <c r="AK6" s="45">
        <f t="shared" ref="AK6:AK46" si="8">AJ6/$AJ$81</f>
        <v>0.4998522665804131</v>
      </c>
    </row>
    <row r="7" spans="1:37" ht="14.1" customHeight="1" x14ac:dyDescent="0.3">
      <c r="A7" s="69"/>
      <c r="B7" s="79"/>
      <c r="C7" s="8" t="s">
        <v>3</v>
      </c>
      <c r="D7" s="9" t="s">
        <v>9</v>
      </c>
      <c r="E7" s="70" t="s">
        <v>73</v>
      </c>
      <c r="F7" s="71"/>
      <c r="G7" s="10">
        <f>G6*8%</f>
        <v>94.98988571428572</v>
      </c>
      <c r="H7" s="45">
        <f t="shared" si="0"/>
        <v>3.4953512982145975E-2</v>
      </c>
      <c r="I7" s="10">
        <f t="shared" ref="I7:I67" si="9">G7*$G$4</f>
        <v>0</v>
      </c>
      <c r="J7" s="10">
        <f t="shared" ref="J7:J69" si="10">I7*28</f>
        <v>0</v>
      </c>
      <c r="K7" s="10">
        <f>K6*8%</f>
        <v>183.41142857142859</v>
      </c>
      <c r="L7" s="45">
        <f t="shared" si="1"/>
        <v>3.9471317828513527E-2</v>
      </c>
      <c r="M7" s="10">
        <f t="shared" ref="M7:M69" si="11">K7*$K$4</f>
        <v>44752.388571428572</v>
      </c>
      <c r="N7" s="10">
        <f t="shared" ref="N7:N69" si="12">M7*28</f>
        <v>1253066.8799999999</v>
      </c>
      <c r="O7" s="10">
        <f>O6*8%</f>
        <v>135.69325714285714</v>
      </c>
      <c r="P7" s="45">
        <f t="shared" si="2"/>
        <v>3.7566592414487773E-2</v>
      </c>
      <c r="Q7" s="10">
        <f t="shared" ref="Q7:Q69" si="13">O7*$O$4</f>
        <v>3663.7179428571426</v>
      </c>
      <c r="R7" s="10">
        <f t="shared" si="3"/>
        <v>102584.10239999999</v>
      </c>
      <c r="S7" s="10">
        <f>S6*8%</f>
        <v>153.74171428571429</v>
      </c>
      <c r="T7" s="45">
        <f t="shared" si="4"/>
        <v>3.7857507201545064E-2</v>
      </c>
      <c r="U7" s="3">
        <f t="shared" ref="U7:U69" si="14">S7*$S$4</f>
        <v>0</v>
      </c>
      <c r="V7" s="10">
        <f t="shared" ref="V7:V69" si="15">U7*28</f>
        <v>0</v>
      </c>
      <c r="W7" s="10">
        <f>W6*8%</f>
        <v>329.82857142857148</v>
      </c>
      <c r="X7" s="45">
        <f t="shared" si="5"/>
        <v>4.2963770829128743E-2</v>
      </c>
      <c r="Y7" s="10">
        <f t="shared" ref="Y7:Y69" si="16">W7*$W$4</f>
        <v>17480.914285714287</v>
      </c>
      <c r="Z7" s="10">
        <f t="shared" ref="Z7:Z69" si="17">Y7*28</f>
        <v>489465.60000000003</v>
      </c>
      <c r="AA7" s="10">
        <f>AA6*8%</f>
        <v>373.65714285714284</v>
      </c>
      <c r="AB7" s="45">
        <f t="shared" si="6"/>
        <v>4.2069310693073403E-2</v>
      </c>
      <c r="AC7" s="10">
        <f t="shared" ref="AC7:AC69" si="18">AA7*$AA$4</f>
        <v>0</v>
      </c>
      <c r="AD7" s="10">
        <f t="shared" ref="AD7:AD69" si="19">AC7*28</f>
        <v>0</v>
      </c>
      <c r="AE7" s="10">
        <f>AE6*8%</f>
        <v>164.91428571428574</v>
      </c>
      <c r="AF7" s="45">
        <f t="shared" si="7"/>
        <v>3.8815829039577955E-2</v>
      </c>
      <c r="AG7" s="10">
        <f t="shared" ref="AG7:AG69" si="20">AE7*$AE$4</f>
        <v>12863.314285714288</v>
      </c>
      <c r="AH7" s="10">
        <f t="shared" ref="AH7:AH69" si="21">AG7*28</f>
        <v>360172.80000000005</v>
      </c>
      <c r="AI7" s="10">
        <f t="shared" ref="AI7:AI69" si="22">I7+M7+Q7+U7+Y7+AC7+AG7</f>
        <v>78760.335085714294</v>
      </c>
      <c r="AJ7" s="10">
        <f t="shared" ref="AJ7:AJ70" si="23">AI7*28</f>
        <v>2205289.3824000005</v>
      </c>
      <c r="AK7" s="45">
        <f t="shared" si="8"/>
        <v>3.9988181326433059E-2</v>
      </c>
    </row>
    <row r="8" spans="1:37" x14ac:dyDescent="0.3">
      <c r="A8" s="69"/>
      <c r="B8" s="79"/>
      <c r="C8" s="8" t="s">
        <v>4</v>
      </c>
      <c r="D8" s="9" t="s">
        <v>12</v>
      </c>
      <c r="E8" s="70"/>
      <c r="F8" s="71"/>
      <c r="G8" s="10"/>
      <c r="H8" s="45">
        <f t="shared" si="0"/>
        <v>0</v>
      </c>
      <c r="I8" s="10">
        <f t="shared" si="9"/>
        <v>0</v>
      </c>
      <c r="J8" s="10">
        <f t="shared" si="10"/>
        <v>0</v>
      </c>
      <c r="K8" s="10"/>
      <c r="L8" s="45">
        <f t="shared" si="1"/>
        <v>0</v>
      </c>
      <c r="M8" s="10">
        <f t="shared" si="11"/>
        <v>0</v>
      </c>
      <c r="N8" s="10">
        <f t="shared" si="12"/>
        <v>0</v>
      </c>
      <c r="O8" s="10"/>
      <c r="P8" s="45">
        <f t="shared" si="2"/>
        <v>0</v>
      </c>
      <c r="Q8" s="10">
        <f t="shared" si="13"/>
        <v>0</v>
      </c>
      <c r="R8" s="10">
        <f t="shared" si="3"/>
        <v>0</v>
      </c>
      <c r="S8" s="10"/>
      <c r="T8" s="45">
        <f t="shared" si="4"/>
        <v>0</v>
      </c>
      <c r="U8" s="10">
        <f t="shared" si="14"/>
        <v>0</v>
      </c>
      <c r="V8" s="10">
        <f t="shared" si="15"/>
        <v>0</v>
      </c>
      <c r="W8" s="10"/>
      <c r="X8" s="45">
        <f t="shared" si="5"/>
        <v>0</v>
      </c>
      <c r="Y8" s="10">
        <f t="shared" si="16"/>
        <v>0</v>
      </c>
      <c r="Z8" s="10">
        <f t="shared" si="17"/>
        <v>0</v>
      </c>
      <c r="AA8" s="10"/>
      <c r="AB8" s="45">
        <f t="shared" si="6"/>
        <v>0</v>
      </c>
      <c r="AC8" s="10">
        <f t="shared" si="18"/>
        <v>0</v>
      </c>
      <c r="AD8" s="10">
        <f t="shared" si="19"/>
        <v>0</v>
      </c>
      <c r="AE8" s="10"/>
      <c r="AF8" s="45">
        <f t="shared" si="7"/>
        <v>0</v>
      </c>
      <c r="AG8" s="10">
        <f t="shared" si="20"/>
        <v>0</v>
      </c>
      <c r="AH8" s="10">
        <f t="shared" si="21"/>
        <v>0</v>
      </c>
      <c r="AI8" s="10">
        <f t="shared" si="22"/>
        <v>0</v>
      </c>
      <c r="AJ8" s="10">
        <f t="shared" si="23"/>
        <v>0</v>
      </c>
      <c r="AK8" s="45">
        <f t="shared" si="8"/>
        <v>0</v>
      </c>
    </row>
    <row r="9" spans="1:37" x14ac:dyDescent="0.3">
      <c r="A9" s="69"/>
      <c r="B9" s="79"/>
      <c r="C9" s="8" t="s">
        <v>5</v>
      </c>
      <c r="D9" s="9" t="s">
        <v>100</v>
      </c>
      <c r="E9" s="70" t="s">
        <v>117</v>
      </c>
      <c r="F9" s="71"/>
      <c r="G9" s="10">
        <f>G6*0.2%</f>
        <v>2.3747471428571432</v>
      </c>
      <c r="H9" s="45">
        <f t="shared" si="0"/>
        <v>8.7383782455364946E-4</v>
      </c>
      <c r="I9" s="10">
        <f>G9*$G$4</f>
        <v>0</v>
      </c>
      <c r="J9" s="10">
        <f>I9*28</f>
        <v>0</v>
      </c>
      <c r="K9" s="10">
        <f>K6*0.2%</f>
        <v>4.5852857142857149</v>
      </c>
      <c r="L9" s="45">
        <f t="shared" si="1"/>
        <v>9.8678294571283819E-4</v>
      </c>
      <c r="M9" s="10">
        <f t="shared" si="11"/>
        <v>1118.8097142857143</v>
      </c>
      <c r="N9" s="10">
        <f t="shared" si="12"/>
        <v>31326.672000000002</v>
      </c>
      <c r="O9" s="10">
        <f>O6*0.2%</f>
        <v>3.3923314285714286</v>
      </c>
      <c r="P9" s="45">
        <f t="shared" si="2"/>
        <v>9.3916481036219448E-4</v>
      </c>
      <c r="Q9" s="10">
        <f t="shared" si="13"/>
        <v>91.592948571428565</v>
      </c>
      <c r="R9" s="10">
        <f t="shared" si="3"/>
        <v>2564.6025599999998</v>
      </c>
      <c r="S9" s="10">
        <f>S6*0.2%</f>
        <v>3.8435428571428569</v>
      </c>
      <c r="T9" s="45">
        <f t="shared" si="4"/>
        <v>9.4643768003862649E-4</v>
      </c>
      <c r="U9" s="10">
        <f t="shared" si="14"/>
        <v>0</v>
      </c>
      <c r="V9" s="10">
        <f t="shared" si="15"/>
        <v>0</v>
      </c>
      <c r="W9" s="10">
        <f>W6*0.2%</f>
        <v>8.2457142857142856</v>
      </c>
      <c r="X9" s="45">
        <f t="shared" si="5"/>
        <v>1.0740942707282185E-3</v>
      </c>
      <c r="Y9" s="10">
        <f t="shared" si="16"/>
        <v>437.02285714285711</v>
      </c>
      <c r="Z9" s="10">
        <f t="shared" si="17"/>
        <v>12236.64</v>
      </c>
      <c r="AA9" s="10">
        <f>AA6*0.2%</f>
        <v>9.3414285714285707</v>
      </c>
      <c r="AB9" s="45">
        <f t="shared" si="6"/>
        <v>1.051732767326835E-3</v>
      </c>
      <c r="AC9" s="10">
        <f t="shared" si="18"/>
        <v>0</v>
      </c>
      <c r="AD9" s="10">
        <f t="shared" si="19"/>
        <v>0</v>
      </c>
      <c r="AE9" s="10">
        <f>AE6*0.2%</f>
        <v>4.1228571428571428</v>
      </c>
      <c r="AF9" s="45">
        <f t="shared" si="7"/>
        <v>9.7039572598944866E-4</v>
      </c>
      <c r="AG9" s="10">
        <f t="shared" si="20"/>
        <v>321.58285714285716</v>
      </c>
      <c r="AH9" s="10">
        <f t="shared" si="21"/>
        <v>9004.32</v>
      </c>
      <c r="AI9" s="10">
        <f t="shared" si="22"/>
        <v>1969.0083771428569</v>
      </c>
      <c r="AJ9" s="10">
        <f t="shared" si="23"/>
        <v>55132.234559999997</v>
      </c>
      <c r="AK9" s="45">
        <f t="shared" si="8"/>
        <v>9.9970453316082617E-4</v>
      </c>
    </row>
    <row r="10" spans="1:37" x14ac:dyDescent="0.3">
      <c r="A10" s="69"/>
      <c r="B10" s="79"/>
      <c r="C10" s="8" t="s">
        <v>6</v>
      </c>
      <c r="D10" s="9" t="s">
        <v>114</v>
      </c>
      <c r="E10" s="70" t="s">
        <v>118</v>
      </c>
      <c r="F10" s="71"/>
      <c r="G10" s="10">
        <f>G6*1%</f>
        <v>11.873735714285715</v>
      </c>
      <c r="H10" s="45">
        <f t="shared" si="0"/>
        <v>4.3691891227682468E-3</v>
      </c>
      <c r="I10" s="10">
        <f>G10*$G$4</f>
        <v>0</v>
      </c>
      <c r="J10" s="10">
        <f t="shared" ref="J10:J12" si="24">I10*28</f>
        <v>0</v>
      </c>
      <c r="K10" s="10">
        <f>K6*1%</f>
        <v>22.926428571428573</v>
      </c>
      <c r="L10" s="45">
        <f t="shared" si="1"/>
        <v>4.9339147285641909E-3</v>
      </c>
      <c r="M10" s="10">
        <f t="shared" si="11"/>
        <v>5594.0485714285714</v>
      </c>
      <c r="N10" s="10">
        <f t="shared" si="12"/>
        <v>156633.35999999999</v>
      </c>
      <c r="O10" s="10">
        <f>O6*1%</f>
        <v>16.961657142857142</v>
      </c>
      <c r="P10" s="45">
        <f t="shared" si="2"/>
        <v>4.6958240518109717E-3</v>
      </c>
      <c r="Q10" s="10">
        <f t="shared" si="13"/>
        <v>457.96474285714282</v>
      </c>
      <c r="R10" s="10">
        <f t="shared" si="3"/>
        <v>12823.012799999999</v>
      </c>
      <c r="S10" s="10">
        <f>S6*1%</f>
        <v>19.217714285714287</v>
      </c>
      <c r="T10" s="45">
        <f t="shared" si="4"/>
        <v>4.732188400193133E-3</v>
      </c>
      <c r="U10" s="10">
        <f t="shared" si="14"/>
        <v>0</v>
      </c>
      <c r="V10" s="10">
        <f t="shared" si="15"/>
        <v>0</v>
      </c>
      <c r="W10" s="10">
        <f>W6*1%</f>
        <v>41.228571428571435</v>
      </c>
      <c r="X10" s="45">
        <f t="shared" si="5"/>
        <v>5.3704713536410929E-3</v>
      </c>
      <c r="Y10" s="10">
        <f t="shared" si="16"/>
        <v>2185.1142857142859</v>
      </c>
      <c r="Z10" s="10">
        <f t="shared" si="17"/>
        <v>61183.200000000004</v>
      </c>
      <c r="AA10" s="10">
        <f>AA6*1%</f>
        <v>46.707142857142856</v>
      </c>
      <c r="AB10" s="45">
        <f t="shared" si="6"/>
        <v>5.2586638366341754E-3</v>
      </c>
      <c r="AC10" s="10">
        <f t="shared" si="18"/>
        <v>0</v>
      </c>
      <c r="AD10" s="10">
        <f t="shared" si="19"/>
        <v>0</v>
      </c>
      <c r="AE10" s="10">
        <f>AE6*1%</f>
        <v>20.614285714285717</v>
      </c>
      <c r="AF10" s="45">
        <f t="shared" si="7"/>
        <v>4.8519786299472444E-3</v>
      </c>
      <c r="AG10" s="10">
        <f t="shared" si="20"/>
        <v>1607.9142857142861</v>
      </c>
      <c r="AH10" s="10">
        <f t="shared" si="21"/>
        <v>45021.600000000006</v>
      </c>
      <c r="AI10" s="10">
        <f t="shared" si="22"/>
        <v>9845.0418857142868</v>
      </c>
      <c r="AJ10" s="10">
        <f t="shared" si="23"/>
        <v>275661.17280000006</v>
      </c>
      <c r="AK10" s="45">
        <f t="shared" si="8"/>
        <v>4.9985226658041323E-3</v>
      </c>
    </row>
    <row r="11" spans="1:37" x14ac:dyDescent="0.3">
      <c r="A11" s="69"/>
      <c r="B11" s="79"/>
      <c r="C11" s="8" t="s">
        <v>8</v>
      </c>
      <c r="D11" s="9" t="s">
        <v>115</v>
      </c>
      <c r="E11" s="70" t="s">
        <v>119</v>
      </c>
      <c r="F11" s="71"/>
      <c r="G11" s="10">
        <f>G6*1.5%</f>
        <v>17.810603571428572</v>
      </c>
      <c r="H11" s="45">
        <f t="shared" si="0"/>
        <v>6.5537836841523707E-3</v>
      </c>
      <c r="I11" s="10">
        <f t="shared" ref="I11:I12" si="25">G11*$G$4</f>
        <v>0</v>
      </c>
      <c r="J11" s="10">
        <f t="shared" si="24"/>
        <v>0</v>
      </c>
      <c r="K11" s="10">
        <f>K6*1.5%</f>
        <v>34.38964285714286</v>
      </c>
      <c r="L11" s="45">
        <f t="shared" si="1"/>
        <v>7.4008720928462855E-3</v>
      </c>
      <c r="M11" s="10">
        <f t="shared" si="11"/>
        <v>8391.0728571428572</v>
      </c>
      <c r="N11" s="10">
        <f t="shared" si="12"/>
        <v>234950.04</v>
      </c>
      <c r="O11" s="10">
        <f>O6*1.5%</f>
        <v>25.442485714285713</v>
      </c>
      <c r="P11" s="45">
        <f t="shared" si="2"/>
        <v>7.0437360777164584E-3</v>
      </c>
      <c r="Q11" s="10">
        <f t="shared" si="13"/>
        <v>686.94711428571429</v>
      </c>
      <c r="R11" s="10">
        <f t="shared" si="3"/>
        <v>19234.519199999999</v>
      </c>
      <c r="S11" s="10">
        <f>S6*1.5%</f>
        <v>28.826571428571427</v>
      </c>
      <c r="T11" s="45">
        <f t="shared" si="4"/>
        <v>7.0982826002896982E-3</v>
      </c>
      <c r="U11" s="10">
        <f t="shared" si="14"/>
        <v>0</v>
      </c>
      <c r="V11" s="10">
        <f t="shared" si="15"/>
        <v>0</v>
      </c>
      <c r="W11" s="10">
        <f>W6*1.5%</f>
        <v>61.842857142857142</v>
      </c>
      <c r="X11" s="45">
        <f t="shared" si="5"/>
        <v>8.0557070304616389E-3</v>
      </c>
      <c r="Y11" s="10">
        <f t="shared" si="16"/>
        <v>3277.6714285714284</v>
      </c>
      <c r="Z11" s="10">
        <f t="shared" si="17"/>
        <v>91774.799999999988</v>
      </c>
      <c r="AA11" s="10">
        <f>AA6*1.5%</f>
        <v>70.060714285714283</v>
      </c>
      <c r="AB11" s="45">
        <f t="shared" si="6"/>
        <v>7.887995754951263E-3</v>
      </c>
      <c r="AC11" s="10">
        <f t="shared" si="18"/>
        <v>0</v>
      </c>
      <c r="AD11" s="10">
        <f t="shared" si="19"/>
        <v>0</v>
      </c>
      <c r="AE11" s="10">
        <f>AE6*1.5%</f>
        <v>30.921428571428571</v>
      </c>
      <c r="AF11" s="45">
        <f t="shared" si="7"/>
        <v>7.2779679449208653E-3</v>
      </c>
      <c r="AG11" s="10">
        <f t="shared" si="20"/>
        <v>2411.8714285714286</v>
      </c>
      <c r="AH11" s="10">
        <f t="shared" si="21"/>
        <v>67532.399999999994</v>
      </c>
      <c r="AI11" s="10">
        <f t="shared" si="22"/>
        <v>14767.562828571428</v>
      </c>
      <c r="AJ11" s="10">
        <f t="shared" si="23"/>
        <v>413491.75919999997</v>
      </c>
      <c r="AK11" s="45">
        <f t="shared" si="8"/>
        <v>7.4977839987061959E-3</v>
      </c>
    </row>
    <row r="12" spans="1:37" x14ac:dyDescent="0.3">
      <c r="A12" s="69"/>
      <c r="B12" s="79"/>
      <c r="C12" s="8" t="s">
        <v>10</v>
      </c>
      <c r="D12" s="9" t="s">
        <v>116</v>
      </c>
      <c r="E12" s="70" t="s">
        <v>120</v>
      </c>
      <c r="F12" s="71"/>
      <c r="G12" s="10">
        <f>G6*0.6%</f>
        <v>7.1242414285714295</v>
      </c>
      <c r="H12" s="45">
        <f t="shared" si="0"/>
        <v>2.6215134736609484E-3</v>
      </c>
      <c r="I12" s="10">
        <f t="shared" si="25"/>
        <v>0</v>
      </c>
      <c r="J12" s="10">
        <f t="shared" si="24"/>
        <v>0</v>
      </c>
      <c r="K12" s="10">
        <f>K6*0.6%</f>
        <v>13.755857142857144</v>
      </c>
      <c r="L12" s="45">
        <f t="shared" si="1"/>
        <v>2.9603488371385141E-3</v>
      </c>
      <c r="M12" s="10">
        <f t="shared" si="11"/>
        <v>3356.4291428571432</v>
      </c>
      <c r="N12" s="10">
        <f t="shared" si="12"/>
        <v>93980.016000000003</v>
      </c>
      <c r="O12" s="10">
        <f>O6*0.6%</f>
        <v>10.176994285714287</v>
      </c>
      <c r="P12" s="45">
        <f t="shared" si="2"/>
        <v>2.8174944310865838E-3</v>
      </c>
      <c r="Q12" s="10">
        <f t="shared" si="13"/>
        <v>274.77884571428575</v>
      </c>
      <c r="R12" s="10">
        <f t="shared" si="3"/>
        <v>7693.8076800000008</v>
      </c>
      <c r="S12" s="10">
        <f>S6*0.6%</f>
        <v>11.53062857142857</v>
      </c>
      <c r="T12" s="45">
        <f t="shared" si="4"/>
        <v>2.8393130401158794E-3</v>
      </c>
      <c r="U12" s="10">
        <f t="shared" si="14"/>
        <v>0</v>
      </c>
      <c r="V12" s="10">
        <f t="shared" si="15"/>
        <v>0</v>
      </c>
      <c r="W12" s="10">
        <f>W6*0.6%</f>
        <v>24.73714285714286</v>
      </c>
      <c r="X12" s="45">
        <f t="shared" si="5"/>
        <v>3.2222828121846558E-3</v>
      </c>
      <c r="Y12" s="10">
        <f t="shared" si="16"/>
        <v>1311.0685714285717</v>
      </c>
      <c r="Z12" s="10">
        <f t="shared" si="17"/>
        <v>36709.920000000006</v>
      </c>
      <c r="AA12" s="10">
        <f>AA6*0.6%</f>
        <v>28.024285714285714</v>
      </c>
      <c r="AB12" s="45">
        <f t="shared" si="6"/>
        <v>3.155198301980505E-3</v>
      </c>
      <c r="AC12" s="10">
        <f t="shared" si="18"/>
        <v>0</v>
      </c>
      <c r="AD12" s="10">
        <f t="shared" si="19"/>
        <v>0</v>
      </c>
      <c r="AE12" s="10">
        <f>AE6*0.6%</f>
        <v>12.36857142857143</v>
      </c>
      <c r="AF12" s="45">
        <f t="shared" si="7"/>
        <v>2.9111871779683466E-3</v>
      </c>
      <c r="AG12" s="10">
        <f t="shared" si="20"/>
        <v>964.74857142857149</v>
      </c>
      <c r="AH12" s="10">
        <f t="shared" si="21"/>
        <v>27012.960000000003</v>
      </c>
      <c r="AI12" s="10">
        <f t="shared" si="22"/>
        <v>5907.0251314285715</v>
      </c>
      <c r="AJ12" s="10">
        <f t="shared" si="23"/>
        <v>165396.70368000001</v>
      </c>
      <c r="AK12" s="45">
        <f t="shared" si="8"/>
        <v>2.9991135994824787E-3</v>
      </c>
    </row>
    <row r="13" spans="1:37" x14ac:dyDescent="0.3">
      <c r="A13" s="69"/>
      <c r="B13" s="79"/>
      <c r="C13" s="8" t="s">
        <v>11</v>
      </c>
      <c r="D13" s="9" t="s">
        <v>14</v>
      </c>
      <c r="E13" s="70" t="s">
        <v>74</v>
      </c>
      <c r="F13" s="71"/>
      <c r="G13" s="10">
        <f>G6*2.5%</f>
        <v>29.684339285714287</v>
      </c>
      <c r="H13" s="45">
        <f t="shared" si="0"/>
        <v>1.0922972806920618E-2</v>
      </c>
      <c r="I13" s="10">
        <f t="shared" si="9"/>
        <v>0</v>
      </c>
      <c r="J13" s="10">
        <f t="shared" si="10"/>
        <v>0</v>
      </c>
      <c r="K13" s="10">
        <f>K6*2.5%</f>
        <v>57.316071428571433</v>
      </c>
      <c r="L13" s="45">
        <f t="shared" si="1"/>
        <v>1.2334786821410476E-2</v>
      </c>
      <c r="M13" s="10">
        <f t="shared" si="11"/>
        <v>13985.12142857143</v>
      </c>
      <c r="N13" s="10">
        <f t="shared" si="12"/>
        <v>391583.4</v>
      </c>
      <c r="O13" s="10">
        <f>O6*2.5%</f>
        <v>42.404142857142858</v>
      </c>
      <c r="P13" s="45">
        <f t="shared" si="2"/>
        <v>1.1739560129527432E-2</v>
      </c>
      <c r="Q13" s="10">
        <f t="shared" si="13"/>
        <v>1144.9118571428571</v>
      </c>
      <c r="R13" s="10">
        <f t="shared" si="3"/>
        <v>32057.531999999999</v>
      </c>
      <c r="S13" s="10">
        <f>S6*2.5%</f>
        <v>48.044285714285714</v>
      </c>
      <c r="T13" s="45">
        <f t="shared" si="4"/>
        <v>1.1830471000482831E-2</v>
      </c>
      <c r="U13" s="10">
        <f t="shared" si="14"/>
        <v>0</v>
      </c>
      <c r="V13" s="10">
        <f t="shared" si="15"/>
        <v>0</v>
      </c>
      <c r="W13" s="10">
        <f>W6*2.5%</f>
        <v>103.07142857142858</v>
      </c>
      <c r="X13" s="45">
        <f t="shared" si="5"/>
        <v>1.3426178384102733E-2</v>
      </c>
      <c r="Y13" s="10">
        <f t="shared" si="16"/>
        <v>5462.7857142857147</v>
      </c>
      <c r="Z13" s="10">
        <f t="shared" si="17"/>
        <v>152958</v>
      </c>
      <c r="AA13" s="10">
        <f>AA6*2.5%</f>
        <v>116.76785714285714</v>
      </c>
      <c r="AB13" s="45">
        <f t="shared" si="6"/>
        <v>1.3146659591585438E-2</v>
      </c>
      <c r="AC13" s="10">
        <f t="shared" si="18"/>
        <v>0</v>
      </c>
      <c r="AD13" s="10">
        <f t="shared" si="19"/>
        <v>0</v>
      </c>
      <c r="AE13" s="10">
        <f>AE6*2.5%</f>
        <v>51.535714285714292</v>
      </c>
      <c r="AF13" s="45">
        <f t="shared" si="7"/>
        <v>1.2129946574868111E-2</v>
      </c>
      <c r="AG13" s="10">
        <f t="shared" si="20"/>
        <v>4019.7857142857147</v>
      </c>
      <c r="AH13" s="10">
        <f t="shared" si="21"/>
        <v>112554.00000000001</v>
      </c>
      <c r="AI13" s="10">
        <f t="shared" si="22"/>
        <v>24612.604714285717</v>
      </c>
      <c r="AJ13" s="10">
        <f t="shared" si="23"/>
        <v>689152.93200000003</v>
      </c>
      <c r="AK13" s="45">
        <f t="shared" si="8"/>
        <v>1.2496306664510327E-2</v>
      </c>
    </row>
    <row r="14" spans="1:37" x14ac:dyDescent="0.3">
      <c r="A14" s="69"/>
      <c r="B14" s="79"/>
      <c r="C14" s="8" t="s">
        <v>13</v>
      </c>
      <c r="D14" s="9" t="s">
        <v>16</v>
      </c>
      <c r="E14" s="70" t="s">
        <v>191</v>
      </c>
      <c r="F14" s="71"/>
      <c r="G14" s="10">
        <f>G6*3%</f>
        <v>35.621207142857145</v>
      </c>
      <c r="H14" s="45">
        <f t="shared" si="0"/>
        <v>1.3107567368304741E-2</v>
      </c>
      <c r="I14" s="10">
        <f t="shared" si="9"/>
        <v>0</v>
      </c>
      <c r="J14" s="10">
        <f t="shared" si="10"/>
        <v>0</v>
      </c>
      <c r="K14" s="10">
        <f>K6*3%</f>
        <v>68.77928571428572</v>
      </c>
      <c r="L14" s="45">
        <f t="shared" si="1"/>
        <v>1.4801744185692571E-2</v>
      </c>
      <c r="M14" s="10">
        <f t="shared" si="11"/>
        <v>16782.145714285714</v>
      </c>
      <c r="N14" s="10">
        <f t="shared" si="12"/>
        <v>469900.08</v>
      </c>
      <c r="O14" s="10">
        <f>O6*3%</f>
        <v>50.884971428571426</v>
      </c>
      <c r="P14" s="45">
        <f t="shared" si="2"/>
        <v>1.4087472155432917E-2</v>
      </c>
      <c r="Q14" s="10">
        <f t="shared" si="13"/>
        <v>1373.8942285714286</v>
      </c>
      <c r="R14" s="10">
        <f t="shared" si="3"/>
        <v>38469.038399999998</v>
      </c>
      <c r="S14" s="10">
        <f>S6*3%</f>
        <v>57.653142857142853</v>
      </c>
      <c r="T14" s="45">
        <f t="shared" si="4"/>
        <v>1.4196565200579396E-2</v>
      </c>
      <c r="U14" s="10">
        <f t="shared" si="14"/>
        <v>0</v>
      </c>
      <c r="V14" s="10">
        <f t="shared" si="15"/>
        <v>0</v>
      </c>
      <c r="W14" s="10">
        <f>W6*3%</f>
        <v>123.68571428571428</v>
      </c>
      <c r="X14" s="45">
        <f t="shared" si="5"/>
        <v>1.6111414060923278E-2</v>
      </c>
      <c r="Y14" s="10">
        <f t="shared" si="16"/>
        <v>6555.3428571428567</v>
      </c>
      <c r="Z14" s="10">
        <f t="shared" si="17"/>
        <v>183549.59999999998</v>
      </c>
      <c r="AA14" s="10">
        <f>AA6*3%</f>
        <v>140.12142857142857</v>
      </c>
      <c r="AB14" s="45">
        <f t="shared" si="6"/>
        <v>1.5775991509902526E-2</v>
      </c>
      <c r="AC14" s="10">
        <f t="shared" si="18"/>
        <v>0</v>
      </c>
      <c r="AD14" s="10">
        <f t="shared" si="19"/>
        <v>0</v>
      </c>
      <c r="AE14" s="10">
        <f>AE6*3%</f>
        <v>61.842857142857142</v>
      </c>
      <c r="AF14" s="45">
        <f t="shared" si="7"/>
        <v>1.4555935889841731E-2</v>
      </c>
      <c r="AG14" s="10">
        <f t="shared" si="20"/>
        <v>4823.7428571428572</v>
      </c>
      <c r="AH14" s="10">
        <f t="shared" si="21"/>
        <v>135064.79999999999</v>
      </c>
      <c r="AI14" s="10">
        <f t="shared" si="22"/>
        <v>29535.125657142857</v>
      </c>
      <c r="AJ14" s="10">
        <f t="shared" si="23"/>
        <v>826983.51839999994</v>
      </c>
      <c r="AK14" s="45">
        <f t="shared" si="8"/>
        <v>1.4995567997412392E-2</v>
      </c>
    </row>
    <row r="15" spans="1:37" x14ac:dyDescent="0.3">
      <c r="A15" s="69"/>
      <c r="B15" s="80"/>
      <c r="C15" s="11" t="s">
        <v>15</v>
      </c>
      <c r="D15" s="12" t="s">
        <v>7</v>
      </c>
      <c r="E15" s="72" t="s">
        <v>121</v>
      </c>
      <c r="F15" s="73"/>
      <c r="G15" s="13">
        <f>SUM(G6:G14)</f>
        <v>1386.8523314285715</v>
      </c>
      <c r="H15" s="46">
        <f t="shared" si="0"/>
        <v>0.5103212895393312</v>
      </c>
      <c r="I15" s="13">
        <f t="shared" si="9"/>
        <v>0</v>
      </c>
      <c r="J15" s="13">
        <f t="shared" si="10"/>
        <v>0</v>
      </c>
      <c r="K15" s="13">
        <f>SUM(K6:K14)</f>
        <v>2677.8068571428576</v>
      </c>
      <c r="L15" s="46">
        <f t="shared" si="1"/>
        <v>0.57628124029629746</v>
      </c>
      <c r="M15" s="13">
        <f t="shared" si="11"/>
        <v>653384.87314285722</v>
      </c>
      <c r="N15" s="13">
        <f t="shared" si="12"/>
        <v>18294776.448000003</v>
      </c>
      <c r="O15" s="13">
        <f>SUM(O6:O14)</f>
        <v>1981.1215542857144</v>
      </c>
      <c r="P15" s="46">
        <f t="shared" si="2"/>
        <v>0.5484722492515216</v>
      </c>
      <c r="Q15" s="13">
        <f t="shared" si="13"/>
        <v>53490.28196571429</v>
      </c>
      <c r="R15" s="13">
        <f t="shared" si="3"/>
        <v>1497727.8950400001</v>
      </c>
      <c r="S15" s="13">
        <f>SUM(S6:S14)</f>
        <v>2244.6290285714285</v>
      </c>
      <c r="T15" s="46">
        <f t="shared" si="4"/>
        <v>0.55271960514255791</v>
      </c>
      <c r="U15" s="13">
        <f t="shared" si="14"/>
        <v>0</v>
      </c>
      <c r="V15" s="13">
        <f t="shared" si="15"/>
        <v>0</v>
      </c>
      <c r="W15" s="13">
        <f>SUM(W6:W14)</f>
        <v>4815.4971428571434</v>
      </c>
      <c r="X15" s="46">
        <f t="shared" si="5"/>
        <v>0.62727105410527972</v>
      </c>
      <c r="Y15" s="13">
        <f t="shared" si="16"/>
        <v>255221.34857142859</v>
      </c>
      <c r="Z15" s="13">
        <f t="shared" si="17"/>
        <v>7146197.7600000007</v>
      </c>
      <c r="AA15" s="13">
        <f>SUM(AA6:AA14)</f>
        <v>5455.3942857142856</v>
      </c>
      <c r="AB15" s="46">
        <f t="shared" si="6"/>
        <v>0.6142119361188717</v>
      </c>
      <c r="AC15" s="13">
        <f t="shared" si="18"/>
        <v>0</v>
      </c>
      <c r="AD15" s="13">
        <f t="shared" si="19"/>
        <v>0</v>
      </c>
      <c r="AE15" s="13">
        <f>SUM(AE6:AE14)</f>
        <v>2407.7485714285717</v>
      </c>
      <c r="AF15" s="46">
        <f t="shared" si="7"/>
        <v>0.56671110397783808</v>
      </c>
      <c r="AG15" s="13">
        <f t="shared" si="20"/>
        <v>187804.3885714286</v>
      </c>
      <c r="AH15" s="13">
        <f t="shared" si="21"/>
        <v>5258522.8800000008</v>
      </c>
      <c r="AI15" s="13">
        <f t="shared" si="22"/>
        <v>1149900.8922514287</v>
      </c>
      <c r="AJ15" s="13">
        <f t="shared" si="23"/>
        <v>32197224.983040005</v>
      </c>
      <c r="AK15" s="46">
        <f t="shared" si="8"/>
        <v>0.58382744736592262</v>
      </c>
    </row>
    <row r="16" spans="1:37" x14ac:dyDescent="0.3">
      <c r="A16" s="69"/>
      <c r="B16" s="113" t="s">
        <v>52</v>
      </c>
      <c r="C16" s="8" t="s">
        <v>17</v>
      </c>
      <c r="D16" s="9" t="s">
        <v>22</v>
      </c>
      <c r="E16" s="116"/>
      <c r="F16" s="117"/>
      <c r="G16" s="10">
        <f>E16</f>
        <v>0</v>
      </c>
      <c r="H16" s="45">
        <f t="shared" si="0"/>
        <v>0</v>
      </c>
      <c r="I16" s="10">
        <f t="shared" si="9"/>
        <v>0</v>
      </c>
      <c r="J16" s="10">
        <f t="shared" si="10"/>
        <v>0</v>
      </c>
      <c r="K16" s="10">
        <f>E16</f>
        <v>0</v>
      </c>
      <c r="L16" s="45">
        <f t="shared" si="1"/>
        <v>0</v>
      </c>
      <c r="M16" s="10">
        <f t="shared" si="11"/>
        <v>0</v>
      </c>
      <c r="N16" s="10">
        <f t="shared" si="12"/>
        <v>0</v>
      </c>
      <c r="O16" s="10">
        <f>E16</f>
        <v>0</v>
      </c>
      <c r="P16" s="45">
        <f t="shared" si="2"/>
        <v>0</v>
      </c>
      <c r="Q16" s="10">
        <f t="shared" si="13"/>
        <v>0</v>
      </c>
      <c r="R16" s="10">
        <f t="shared" si="3"/>
        <v>0</v>
      </c>
      <c r="S16" s="10">
        <f>E16</f>
        <v>0</v>
      </c>
      <c r="T16" s="45">
        <f t="shared" si="4"/>
        <v>0</v>
      </c>
      <c r="U16" s="10">
        <f t="shared" si="14"/>
        <v>0</v>
      </c>
      <c r="V16" s="10">
        <f t="shared" si="15"/>
        <v>0</v>
      </c>
      <c r="W16" s="10">
        <v>0</v>
      </c>
      <c r="X16" s="45">
        <f t="shared" si="5"/>
        <v>0</v>
      </c>
      <c r="Y16" s="10">
        <f t="shared" si="16"/>
        <v>0</v>
      </c>
      <c r="Z16" s="10">
        <f t="shared" si="17"/>
        <v>0</v>
      </c>
      <c r="AA16" s="10">
        <v>0</v>
      </c>
      <c r="AB16" s="45">
        <f t="shared" si="6"/>
        <v>0</v>
      </c>
      <c r="AC16" s="10">
        <f t="shared" si="18"/>
        <v>0</v>
      </c>
      <c r="AD16" s="10">
        <f t="shared" si="19"/>
        <v>0</v>
      </c>
      <c r="AE16" s="10">
        <v>0</v>
      </c>
      <c r="AF16" s="45">
        <f t="shared" si="7"/>
        <v>0</v>
      </c>
      <c r="AG16" s="10">
        <f t="shared" si="20"/>
        <v>0</v>
      </c>
      <c r="AH16" s="10">
        <f t="shared" si="21"/>
        <v>0</v>
      </c>
      <c r="AI16" s="10">
        <f t="shared" si="22"/>
        <v>0</v>
      </c>
      <c r="AJ16" s="10">
        <f t="shared" si="23"/>
        <v>0</v>
      </c>
      <c r="AK16" s="45">
        <f t="shared" si="8"/>
        <v>0</v>
      </c>
    </row>
    <row r="17" spans="1:42" x14ac:dyDescent="0.3">
      <c r="A17" s="69"/>
      <c r="B17" s="113"/>
      <c r="C17" s="8" t="s">
        <v>18</v>
      </c>
      <c r="D17" s="9" t="s">
        <v>24</v>
      </c>
      <c r="E17" s="116">
        <v>19.84</v>
      </c>
      <c r="F17" s="117"/>
      <c r="G17" s="10">
        <f>(E17*21)/28*26</f>
        <v>386.88</v>
      </c>
      <c r="H17" s="45">
        <f t="shared" si="0"/>
        <v>0.14236057871684449</v>
      </c>
      <c r="I17" s="10">
        <f t="shared" si="9"/>
        <v>0</v>
      </c>
      <c r="J17" s="10">
        <f t="shared" si="10"/>
        <v>0</v>
      </c>
      <c r="K17" s="10">
        <f>(E17*21)/28*26</f>
        <v>386.88</v>
      </c>
      <c r="L17" s="45">
        <f t="shared" si="1"/>
        <v>8.3259061665005435E-2</v>
      </c>
      <c r="M17" s="10">
        <f t="shared" si="11"/>
        <v>94398.720000000001</v>
      </c>
      <c r="N17" s="10">
        <f t="shared" si="12"/>
        <v>2643164.1600000001</v>
      </c>
      <c r="O17" s="10">
        <f>(E17*21)/28*26</f>
        <v>386.88</v>
      </c>
      <c r="P17" s="45">
        <f t="shared" si="2"/>
        <v>0.10710748329974837</v>
      </c>
      <c r="Q17" s="10">
        <f t="shared" si="13"/>
        <v>10445.76</v>
      </c>
      <c r="R17" s="10">
        <f t="shared" si="3"/>
        <v>292481.28000000003</v>
      </c>
      <c r="S17" s="10">
        <f>(E17*21)/28*26</f>
        <v>386.88</v>
      </c>
      <c r="T17" s="45">
        <f t="shared" si="4"/>
        <v>9.5265702312353429E-2</v>
      </c>
      <c r="U17" s="10">
        <f t="shared" si="14"/>
        <v>0</v>
      </c>
      <c r="V17" s="10">
        <f t="shared" si="15"/>
        <v>0</v>
      </c>
      <c r="W17" s="10">
        <f>(E17*21)/28*26</f>
        <v>386.88</v>
      </c>
      <c r="X17" s="45">
        <f t="shared" si="5"/>
        <v>5.0395341999572629E-2</v>
      </c>
      <c r="Y17" s="10">
        <f t="shared" si="16"/>
        <v>20504.64</v>
      </c>
      <c r="Z17" s="10">
        <f t="shared" si="17"/>
        <v>574129.91999999993</v>
      </c>
      <c r="AA17" s="10">
        <f>(E17*21)/28*26</f>
        <v>386.88</v>
      </c>
      <c r="AB17" s="45">
        <f t="shared" si="6"/>
        <v>4.3558045743444587E-2</v>
      </c>
      <c r="AC17" s="10">
        <f t="shared" si="18"/>
        <v>0</v>
      </c>
      <c r="AD17" s="10">
        <f t="shared" si="19"/>
        <v>0</v>
      </c>
      <c r="AE17" s="10">
        <f>(E17*21)/28*26</f>
        <v>386.88</v>
      </c>
      <c r="AF17" s="45">
        <f t="shared" si="7"/>
        <v>9.1059836773928801E-2</v>
      </c>
      <c r="AG17" s="10">
        <f t="shared" si="20"/>
        <v>30176.639999999999</v>
      </c>
      <c r="AH17" s="10">
        <f t="shared" si="21"/>
        <v>844945.91999999993</v>
      </c>
      <c r="AI17" s="10">
        <f t="shared" si="22"/>
        <v>155525.76000000001</v>
      </c>
      <c r="AJ17" s="10">
        <f t="shared" si="23"/>
        <v>4354721.28</v>
      </c>
      <c r="AK17" s="45">
        <f t="shared" si="8"/>
        <v>7.8963507265973509E-2</v>
      </c>
    </row>
    <row r="18" spans="1:42" x14ac:dyDescent="0.3">
      <c r="A18" s="69"/>
      <c r="B18" s="113"/>
      <c r="C18" s="8" t="s">
        <v>19</v>
      </c>
      <c r="D18" s="9" t="s">
        <v>26</v>
      </c>
      <c r="E18" s="116"/>
      <c r="F18" s="117"/>
      <c r="G18" s="10">
        <f>E18</f>
        <v>0</v>
      </c>
      <c r="H18" s="45">
        <f t="shared" si="0"/>
        <v>0</v>
      </c>
      <c r="I18" s="10">
        <f t="shared" si="9"/>
        <v>0</v>
      </c>
      <c r="J18" s="10">
        <f t="shared" si="10"/>
        <v>0</v>
      </c>
      <c r="K18" s="10">
        <f>E18</f>
        <v>0</v>
      </c>
      <c r="L18" s="45">
        <f t="shared" si="1"/>
        <v>0</v>
      </c>
      <c r="M18" s="10">
        <f t="shared" si="11"/>
        <v>0</v>
      </c>
      <c r="N18" s="10">
        <f t="shared" si="12"/>
        <v>0</v>
      </c>
      <c r="O18" s="10">
        <f>E18</f>
        <v>0</v>
      </c>
      <c r="P18" s="45">
        <f t="shared" si="2"/>
        <v>0</v>
      </c>
      <c r="Q18" s="10">
        <f t="shared" si="13"/>
        <v>0</v>
      </c>
      <c r="R18" s="10">
        <f t="shared" si="3"/>
        <v>0</v>
      </c>
      <c r="S18" s="10">
        <f>E18</f>
        <v>0</v>
      </c>
      <c r="T18" s="45">
        <f t="shared" si="4"/>
        <v>0</v>
      </c>
      <c r="U18" s="10">
        <f t="shared" si="14"/>
        <v>0</v>
      </c>
      <c r="V18" s="10">
        <f t="shared" si="15"/>
        <v>0</v>
      </c>
      <c r="W18" s="10">
        <v>0</v>
      </c>
      <c r="X18" s="45">
        <f t="shared" si="5"/>
        <v>0</v>
      </c>
      <c r="Y18" s="10">
        <f t="shared" si="16"/>
        <v>0</v>
      </c>
      <c r="Z18" s="10">
        <f t="shared" si="17"/>
        <v>0</v>
      </c>
      <c r="AA18" s="10">
        <v>0</v>
      </c>
      <c r="AB18" s="45">
        <f t="shared" si="6"/>
        <v>0</v>
      </c>
      <c r="AC18" s="10">
        <f t="shared" si="18"/>
        <v>0</v>
      </c>
      <c r="AD18" s="10">
        <f t="shared" si="19"/>
        <v>0</v>
      </c>
      <c r="AE18" s="10">
        <v>0</v>
      </c>
      <c r="AF18" s="45">
        <f t="shared" si="7"/>
        <v>0</v>
      </c>
      <c r="AG18" s="10">
        <f t="shared" si="20"/>
        <v>0</v>
      </c>
      <c r="AH18" s="10">
        <f t="shared" si="21"/>
        <v>0</v>
      </c>
      <c r="AI18" s="10">
        <f t="shared" si="22"/>
        <v>0</v>
      </c>
      <c r="AJ18" s="10">
        <f t="shared" si="23"/>
        <v>0</v>
      </c>
      <c r="AK18" s="45">
        <f t="shared" si="8"/>
        <v>0</v>
      </c>
    </row>
    <row r="19" spans="1:42" s="59" customFormat="1" x14ac:dyDescent="0.3">
      <c r="A19" s="69"/>
      <c r="B19" s="113"/>
      <c r="C19" s="15" t="s">
        <v>20</v>
      </c>
      <c r="D19" s="16" t="s">
        <v>28</v>
      </c>
      <c r="E19" s="86"/>
      <c r="F19" s="87"/>
      <c r="G19" s="5">
        <f>E19</f>
        <v>0</v>
      </c>
      <c r="H19" s="47">
        <f t="shared" si="0"/>
        <v>0</v>
      </c>
      <c r="I19" s="5">
        <f t="shared" si="9"/>
        <v>0</v>
      </c>
      <c r="J19" s="5">
        <f t="shared" si="10"/>
        <v>0</v>
      </c>
      <c r="K19" s="5">
        <f>E19</f>
        <v>0</v>
      </c>
      <c r="L19" s="47">
        <f t="shared" si="1"/>
        <v>0</v>
      </c>
      <c r="M19" s="5">
        <f t="shared" si="11"/>
        <v>0</v>
      </c>
      <c r="N19" s="5">
        <f t="shared" si="12"/>
        <v>0</v>
      </c>
      <c r="O19" s="5">
        <f>E19</f>
        <v>0</v>
      </c>
      <c r="P19" s="47">
        <f t="shared" si="2"/>
        <v>0</v>
      </c>
      <c r="Q19" s="5">
        <f t="shared" si="13"/>
        <v>0</v>
      </c>
      <c r="R19" s="5">
        <f t="shared" si="3"/>
        <v>0</v>
      </c>
      <c r="S19" s="5">
        <f>E19</f>
        <v>0</v>
      </c>
      <c r="T19" s="47">
        <f t="shared" si="4"/>
        <v>0</v>
      </c>
      <c r="U19" s="5">
        <f t="shared" si="14"/>
        <v>0</v>
      </c>
      <c r="V19" s="5">
        <f t="shared" si="15"/>
        <v>0</v>
      </c>
      <c r="W19" s="5">
        <v>0</v>
      </c>
      <c r="X19" s="47">
        <f t="shared" si="5"/>
        <v>0</v>
      </c>
      <c r="Y19" s="5">
        <f t="shared" si="16"/>
        <v>0</v>
      </c>
      <c r="Z19" s="5">
        <f t="shared" si="17"/>
        <v>0</v>
      </c>
      <c r="AA19" s="5">
        <v>0</v>
      </c>
      <c r="AB19" s="47">
        <f t="shared" si="6"/>
        <v>0</v>
      </c>
      <c r="AC19" s="5">
        <f t="shared" si="18"/>
        <v>0</v>
      </c>
      <c r="AD19" s="5">
        <f t="shared" si="19"/>
        <v>0</v>
      </c>
      <c r="AE19" s="5">
        <v>0</v>
      </c>
      <c r="AF19" s="47">
        <f t="shared" si="7"/>
        <v>0</v>
      </c>
      <c r="AG19" s="5">
        <f t="shared" si="20"/>
        <v>0</v>
      </c>
      <c r="AH19" s="5">
        <f t="shared" si="21"/>
        <v>0</v>
      </c>
      <c r="AI19" s="5">
        <f t="shared" si="22"/>
        <v>0</v>
      </c>
      <c r="AJ19" s="5">
        <f t="shared" si="23"/>
        <v>0</v>
      </c>
      <c r="AK19" s="47">
        <f t="shared" si="8"/>
        <v>0</v>
      </c>
      <c r="AP19" s="60"/>
    </row>
    <row r="20" spans="1:42" x14ac:dyDescent="0.3">
      <c r="A20" s="69"/>
      <c r="B20" s="113"/>
      <c r="C20" s="8" t="s">
        <v>21</v>
      </c>
      <c r="D20" s="9" t="s">
        <v>29</v>
      </c>
      <c r="E20" s="116">
        <v>4.25</v>
      </c>
      <c r="F20" s="117"/>
      <c r="G20" s="10">
        <f>IF((E20*42)-(I4*6%)&gt;0,((E20*42)-(I4*6%))/28*26,0)</f>
        <v>94.50758571428571</v>
      </c>
      <c r="H20" s="45">
        <f t="shared" si="0"/>
        <v>3.4776040620909582E-2</v>
      </c>
      <c r="I20" s="10">
        <f t="shared" si="9"/>
        <v>0</v>
      </c>
      <c r="J20" s="10">
        <f t="shared" si="10"/>
        <v>0</v>
      </c>
      <c r="K20" s="10">
        <f>IF((E20*42)-(M4*6%)&gt;0,((E20*42)-(M4*6%))/28*26,0)</f>
        <v>28.191428571428585</v>
      </c>
      <c r="L20" s="45">
        <f t="shared" si="1"/>
        <v>6.0669765556585209E-3</v>
      </c>
      <c r="M20" s="10">
        <f t="shared" si="11"/>
        <v>6878.7085714285749</v>
      </c>
      <c r="N20" s="10">
        <f t="shared" si="12"/>
        <v>192603.84000000008</v>
      </c>
      <c r="O20" s="10">
        <f>IF((E20*42)-(Q4*6%)&gt;0,((E20*42)-(Q4*6%))/28*26,0)</f>
        <v>63.980057142857149</v>
      </c>
      <c r="P20" s="45">
        <f t="shared" si="2"/>
        <v>1.7712838352836845E-2</v>
      </c>
      <c r="Q20" s="10">
        <f t="shared" si="13"/>
        <v>1727.4615428571431</v>
      </c>
      <c r="R20" s="10">
        <f t="shared" si="3"/>
        <v>48368.923200000005</v>
      </c>
      <c r="S20" s="10">
        <f>IF((E20*42)-(U4*6%)&gt;0,((E20*42)-(U4*6%))/28*26,0)</f>
        <v>50.4437142857143</v>
      </c>
      <c r="T20" s="45">
        <f t="shared" si="4"/>
        <v>1.2421308593549082E-2</v>
      </c>
      <c r="U20" s="10">
        <f t="shared" si="14"/>
        <v>0</v>
      </c>
      <c r="V20" s="10">
        <f t="shared" si="15"/>
        <v>0</v>
      </c>
      <c r="W20" s="10">
        <f>IF((E20*42)-(Y4*6%)&gt;0,((E20*42)-(Y4*6%))/28*26,0)</f>
        <v>0</v>
      </c>
      <c r="X20" s="45">
        <f t="shared" si="5"/>
        <v>0</v>
      </c>
      <c r="Y20" s="10">
        <f t="shared" si="16"/>
        <v>0</v>
      </c>
      <c r="Z20" s="10">
        <f t="shared" si="17"/>
        <v>0</v>
      </c>
      <c r="AA20" s="10">
        <f>IF((E20*42)-(AC4*6%)&gt;0,((E20*42)-(AC4*6%))/28*26,0)</f>
        <v>0</v>
      </c>
      <c r="AB20" s="45">
        <f t="shared" si="6"/>
        <v>0</v>
      </c>
      <c r="AC20" s="10">
        <f t="shared" si="18"/>
        <v>0</v>
      </c>
      <c r="AD20" s="10">
        <f t="shared" si="19"/>
        <v>0</v>
      </c>
      <c r="AE20" s="10">
        <f>IF((E20*42)-(AG4*6%)&gt;0,((E20*42)-(AG4*6%))/28*26,0)</f>
        <v>42.064285714285724</v>
      </c>
      <c r="AF20" s="45">
        <f t="shared" si="7"/>
        <v>9.9006590962437014E-3</v>
      </c>
      <c r="AG20" s="10">
        <f t="shared" si="20"/>
        <v>3281.0142857142864</v>
      </c>
      <c r="AH20" s="10">
        <f t="shared" si="21"/>
        <v>91868.400000000023</v>
      </c>
      <c r="AI20" s="10">
        <f t="shared" si="22"/>
        <v>11887.184400000006</v>
      </c>
      <c r="AJ20" s="10">
        <f t="shared" si="23"/>
        <v>332841.16320000018</v>
      </c>
      <c r="AK20" s="45">
        <f t="shared" si="8"/>
        <v>6.0353588482150314E-3</v>
      </c>
    </row>
    <row r="21" spans="1:42" x14ac:dyDescent="0.3">
      <c r="A21" s="69"/>
      <c r="B21" s="113"/>
      <c r="C21" s="11" t="s">
        <v>23</v>
      </c>
      <c r="D21" s="12" t="s">
        <v>7</v>
      </c>
      <c r="E21" s="72" t="s">
        <v>122</v>
      </c>
      <c r="F21" s="73"/>
      <c r="G21" s="13">
        <f>SUM(G16:G20)</f>
        <v>481.38758571428571</v>
      </c>
      <c r="H21" s="46">
        <f t="shared" si="0"/>
        <v>0.1771366193377541</v>
      </c>
      <c r="I21" s="13">
        <f t="shared" si="9"/>
        <v>0</v>
      </c>
      <c r="J21" s="13">
        <f t="shared" si="10"/>
        <v>0</v>
      </c>
      <c r="K21" s="13">
        <f>SUM(K16:K20)</f>
        <v>415.07142857142856</v>
      </c>
      <c r="L21" s="46">
        <f t="shared" si="1"/>
        <v>8.9326038220663956E-2</v>
      </c>
      <c r="M21" s="13">
        <f t="shared" si="11"/>
        <v>101277.42857142857</v>
      </c>
      <c r="N21" s="13">
        <f t="shared" si="12"/>
        <v>2835768</v>
      </c>
      <c r="O21" s="13">
        <f>SUM(O16:O20)</f>
        <v>450.86005714285716</v>
      </c>
      <c r="P21" s="46">
        <f t="shared" si="2"/>
        <v>0.12482032165258521</v>
      </c>
      <c r="Q21" s="13">
        <f t="shared" si="13"/>
        <v>12173.221542857144</v>
      </c>
      <c r="R21" s="13">
        <f t="shared" si="3"/>
        <v>340850.20319999999</v>
      </c>
      <c r="S21" s="13">
        <f>SUM(S16:S20)</f>
        <v>437.32371428571429</v>
      </c>
      <c r="T21" s="46">
        <f t="shared" si="4"/>
        <v>0.10768701090590252</v>
      </c>
      <c r="U21" s="13">
        <f t="shared" si="14"/>
        <v>0</v>
      </c>
      <c r="V21" s="13">
        <f t="shared" si="15"/>
        <v>0</v>
      </c>
      <c r="W21" s="13">
        <f>SUM(W16:W20)</f>
        <v>386.88</v>
      </c>
      <c r="X21" s="46">
        <f t="shared" si="5"/>
        <v>5.0395341999572629E-2</v>
      </c>
      <c r="Y21" s="13">
        <f t="shared" si="16"/>
        <v>20504.64</v>
      </c>
      <c r="Z21" s="13">
        <f t="shared" si="17"/>
        <v>574129.91999999993</v>
      </c>
      <c r="AA21" s="13">
        <f>SUM(AA16:AA20)</f>
        <v>386.88</v>
      </c>
      <c r="AB21" s="46">
        <f t="shared" si="6"/>
        <v>4.3558045743444587E-2</v>
      </c>
      <c r="AC21" s="13">
        <f t="shared" si="18"/>
        <v>0</v>
      </c>
      <c r="AD21" s="13">
        <f t="shared" si="19"/>
        <v>0</v>
      </c>
      <c r="AE21" s="13">
        <f>SUM(AE16:AE20)</f>
        <v>428.94428571428574</v>
      </c>
      <c r="AF21" s="46">
        <f t="shared" si="7"/>
        <v>0.10096049587017251</v>
      </c>
      <c r="AG21" s="13">
        <f t="shared" si="20"/>
        <v>33457.654285714285</v>
      </c>
      <c r="AH21" s="13">
        <f t="shared" si="21"/>
        <v>936814.32</v>
      </c>
      <c r="AI21" s="13">
        <f t="shared" si="22"/>
        <v>167412.94440000001</v>
      </c>
      <c r="AJ21" s="13">
        <f t="shared" si="23"/>
        <v>4687562.4432000006</v>
      </c>
      <c r="AK21" s="46">
        <f t="shared" si="8"/>
        <v>8.499886611418854E-2</v>
      </c>
      <c r="AN21" s="14"/>
    </row>
    <row r="22" spans="1:42" ht="15" customHeight="1" x14ac:dyDescent="0.3">
      <c r="A22" s="66" t="s">
        <v>79</v>
      </c>
      <c r="B22" s="78" t="s">
        <v>75</v>
      </c>
      <c r="C22" s="15" t="s">
        <v>25</v>
      </c>
      <c r="D22" s="16" t="s">
        <v>75</v>
      </c>
      <c r="E22" s="76" t="s">
        <v>107</v>
      </c>
      <c r="F22" s="77"/>
      <c r="G22" s="5">
        <f>(I4+I4/3)/30*70/28</f>
        <v>142.07888888888891</v>
      </c>
      <c r="H22" s="47">
        <f t="shared" si="0"/>
        <v>5.228089548611578E-2</v>
      </c>
      <c r="I22" s="5">
        <f t="shared" si="9"/>
        <v>0</v>
      </c>
      <c r="J22" s="5">
        <f t="shared" si="10"/>
        <v>0</v>
      </c>
      <c r="K22" s="5">
        <f>(M4+M4/3)/30*70/28</f>
        <v>274.33333333333331</v>
      </c>
      <c r="L22" s="47">
        <f t="shared" si="1"/>
        <v>5.9038295897349283E-2</v>
      </c>
      <c r="M22" s="5">
        <f t="shared" si="11"/>
        <v>66937.333333333328</v>
      </c>
      <c r="N22" s="5">
        <f t="shared" si="12"/>
        <v>1874245.3333333333</v>
      </c>
      <c r="O22" s="5">
        <f>(Q4+Q4/3)/30*70/28</f>
        <v>202.96</v>
      </c>
      <c r="P22" s="47">
        <f t="shared" si="2"/>
        <v>5.6189347628507365E-2</v>
      </c>
      <c r="Q22" s="5">
        <f t="shared" si="13"/>
        <v>5479.92</v>
      </c>
      <c r="R22" s="5">
        <f t="shared" si="3"/>
        <v>153437.76000000001</v>
      </c>
      <c r="S22" s="5">
        <f>(U4+U4/3)/30*70/28</f>
        <v>229.95555555555555</v>
      </c>
      <c r="T22" s="47">
        <f t="shared" si="4"/>
        <v>5.6624476583507569E-2</v>
      </c>
      <c r="U22" s="5">
        <f t="shared" si="14"/>
        <v>0</v>
      </c>
      <c r="V22" s="5">
        <f t="shared" si="15"/>
        <v>0</v>
      </c>
      <c r="W22" s="5">
        <f>(Y4+Y4/3)/30*69.5/28</f>
        <v>489.80952380952385</v>
      </c>
      <c r="X22" s="47">
        <f t="shared" si="5"/>
        <v>6.3803035739838629E-2</v>
      </c>
      <c r="Y22" s="5">
        <f t="shared" si="16"/>
        <v>25959.904761904763</v>
      </c>
      <c r="Z22" s="5">
        <f t="shared" si="17"/>
        <v>726877.33333333337</v>
      </c>
      <c r="AA22" s="5">
        <f>(AC4+AC4/3)/30*70/28</f>
        <v>558.88888888888891</v>
      </c>
      <c r="AB22" s="47">
        <f t="shared" si="6"/>
        <v>6.2924182660579878E-2</v>
      </c>
      <c r="AC22" s="5">
        <f t="shared" si="18"/>
        <v>0</v>
      </c>
      <c r="AD22" s="5">
        <f t="shared" si="19"/>
        <v>0</v>
      </c>
      <c r="AE22" s="5">
        <f>(AG4+AG4/3)/30*70/28</f>
        <v>246.66666666666669</v>
      </c>
      <c r="AF22" s="47">
        <f t="shared" si="7"/>
        <v>5.805786394808668E-2</v>
      </c>
      <c r="AG22" s="5">
        <f t="shared" si="20"/>
        <v>19240</v>
      </c>
      <c r="AH22" s="5">
        <f t="shared" si="21"/>
        <v>538720</v>
      </c>
      <c r="AI22" s="5">
        <f t="shared" si="22"/>
        <v>117617.15809523809</v>
      </c>
      <c r="AJ22" s="5">
        <f t="shared" si="23"/>
        <v>3293280.4266666668</v>
      </c>
      <c r="AK22" s="47">
        <f t="shared" si="8"/>
        <v>5.9716559609523774E-2</v>
      </c>
    </row>
    <row r="23" spans="1:42" x14ac:dyDescent="0.3">
      <c r="A23" s="67"/>
      <c r="B23" s="79"/>
      <c r="C23" s="15" t="s">
        <v>27</v>
      </c>
      <c r="D23" s="16" t="s">
        <v>9</v>
      </c>
      <c r="E23" s="76" t="s">
        <v>124</v>
      </c>
      <c r="F23" s="77"/>
      <c r="G23" s="5">
        <f>G22*8%</f>
        <v>11.366311111111113</v>
      </c>
      <c r="H23" s="47">
        <f t="shared" si="0"/>
        <v>4.1824716388892628E-3</v>
      </c>
      <c r="I23" s="5">
        <f t="shared" si="9"/>
        <v>0</v>
      </c>
      <c r="J23" s="5">
        <f t="shared" si="10"/>
        <v>0</v>
      </c>
      <c r="K23" s="5">
        <f>K22*8%</f>
        <v>21.946666666666665</v>
      </c>
      <c r="L23" s="47">
        <f t="shared" si="1"/>
        <v>4.7230636717879425E-3</v>
      </c>
      <c r="M23" s="5">
        <f t="shared" si="11"/>
        <v>5354.9866666666667</v>
      </c>
      <c r="N23" s="5">
        <f t="shared" si="12"/>
        <v>149939.62666666668</v>
      </c>
      <c r="O23" s="5">
        <f>O22*8%</f>
        <v>16.236800000000002</v>
      </c>
      <c r="P23" s="47">
        <f t="shared" si="2"/>
        <v>4.4951478102805897E-3</v>
      </c>
      <c r="Q23" s="5">
        <f t="shared" si="13"/>
        <v>438.39360000000005</v>
      </c>
      <c r="R23" s="5">
        <f t="shared" si="3"/>
        <v>12275.020800000002</v>
      </c>
      <c r="S23" s="5">
        <f>S22*8%</f>
        <v>18.396444444444445</v>
      </c>
      <c r="T23" s="47">
        <f t="shared" si="4"/>
        <v>4.5299581266806058E-3</v>
      </c>
      <c r="U23" s="5">
        <f t="shared" si="14"/>
        <v>0</v>
      </c>
      <c r="V23" s="5">
        <f t="shared" si="15"/>
        <v>0</v>
      </c>
      <c r="W23" s="5">
        <f>W22*8%</f>
        <v>39.184761904761906</v>
      </c>
      <c r="X23" s="47">
        <f t="shared" si="5"/>
        <v>5.1042428591870897E-3</v>
      </c>
      <c r="Y23" s="5">
        <f t="shared" si="16"/>
        <v>2076.7923809523809</v>
      </c>
      <c r="Z23" s="5">
        <f t="shared" si="17"/>
        <v>58150.186666666661</v>
      </c>
      <c r="AA23" s="5">
        <f>AA22*8%</f>
        <v>44.711111111111116</v>
      </c>
      <c r="AB23" s="47">
        <f t="shared" si="6"/>
        <v>5.0339346128463903E-3</v>
      </c>
      <c r="AC23" s="5">
        <f t="shared" si="18"/>
        <v>0</v>
      </c>
      <c r="AD23" s="5">
        <f t="shared" si="19"/>
        <v>0</v>
      </c>
      <c r="AE23" s="5">
        <f>AE22*8%</f>
        <v>19.733333333333334</v>
      </c>
      <c r="AF23" s="47">
        <f t="shared" si="7"/>
        <v>4.6446291158469344E-3</v>
      </c>
      <c r="AG23" s="5">
        <f t="shared" si="20"/>
        <v>1539.2</v>
      </c>
      <c r="AH23" s="5">
        <f t="shared" si="21"/>
        <v>43097.599999999999</v>
      </c>
      <c r="AI23" s="5">
        <f t="shared" si="22"/>
        <v>9409.3726476190477</v>
      </c>
      <c r="AJ23" s="5">
        <f t="shared" si="23"/>
        <v>263462.43413333333</v>
      </c>
      <c r="AK23" s="47">
        <f t="shared" si="8"/>
        <v>4.7773247687619017E-3</v>
      </c>
      <c r="AM23" s="14"/>
      <c r="AN23" s="17"/>
    </row>
    <row r="24" spans="1:42" x14ac:dyDescent="0.3">
      <c r="A24" s="67"/>
      <c r="B24" s="79"/>
      <c r="C24" s="15" t="s">
        <v>123</v>
      </c>
      <c r="D24" s="16" t="s">
        <v>12</v>
      </c>
      <c r="E24" s="76"/>
      <c r="F24" s="77"/>
      <c r="G24" s="5"/>
      <c r="H24" s="47">
        <f t="shared" si="0"/>
        <v>0</v>
      </c>
      <c r="I24" s="5">
        <f t="shared" si="9"/>
        <v>0</v>
      </c>
      <c r="J24" s="5">
        <f t="shared" si="10"/>
        <v>0</v>
      </c>
      <c r="K24" s="5"/>
      <c r="L24" s="47">
        <f t="shared" si="1"/>
        <v>0</v>
      </c>
      <c r="M24" s="5">
        <f t="shared" si="11"/>
        <v>0</v>
      </c>
      <c r="N24" s="5">
        <f t="shared" si="12"/>
        <v>0</v>
      </c>
      <c r="O24" s="5"/>
      <c r="P24" s="47">
        <f t="shared" si="2"/>
        <v>0</v>
      </c>
      <c r="Q24" s="5">
        <f t="shared" si="13"/>
        <v>0</v>
      </c>
      <c r="R24" s="5">
        <f t="shared" si="3"/>
        <v>0</v>
      </c>
      <c r="S24" s="5"/>
      <c r="T24" s="47">
        <f t="shared" si="4"/>
        <v>0</v>
      </c>
      <c r="U24" s="5">
        <f t="shared" si="14"/>
        <v>0</v>
      </c>
      <c r="V24" s="5">
        <f t="shared" si="15"/>
        <v>0</v>
      </c>
      <c r="W24" s="5"/>
      <c r="X24" s="47">
        <f t="shared" si="5"/>
        <v>0</v>
      </c>
      <c r="Y24" s="5">
        <f t="shared" si="16"/>
        <v>0</v>
      </c>
      <c r="Z24" s="5">
        <f t="shared" si="17"/>
        <v>0</v>
      </c>
      <c r="AA24" s="5"/>
      <c r="AB24" s="47">
        <f t="shared" si="6"/>
        <v>0</v>
      </c>
      <c r="AC24" s="5">
        <f t="shared" si="18"/>
        <v>0</v>
      </c>
      <c r="AD24" s="5">
        <f t="shared" si="19"/>
        <v>0</v>
      </c>
      <c r="AE24" s="5"/>
      <c r="AF24" s="47">
        <f t="shared" si="7"/>
        <v>0</v>
      </c>
      <c r="AG24" s="5">
        <f t="shared" si="20"/>
        <v>0</v>
      </c>
      <c r="AH24" s="5">
        <f t="shared" si="21"/>
        <v>0</v>
      </c>
      <c r="AI24" s="5">
        <f t="shared" si="22"/>
        <v>0</v>
      </c>
      <c r="AJ24" s="5">
        <f t="shared" si="23"/>
        <v>0</v>
      </c>
      <c r="AK24" s="47">
        <f t="shared" si="8"/>
        <v>0</v>
      </c>
      <c r="AN24" s="17"/>
    </row>
    <row r="25" spans="1:42" x14ac:dyDescent="0.3">
      <c r="A25" s="67"/>
      <c r="B25" s="79"/>
      <c r="C25" s="15" t="s">
        <v>30</v>
      </c>
      <c r="D25" s="9" t="s">
        <v>100</v>
      </c>
      <c r="E25" s="70" t="s">
        <v>125</v>
      </c>
      <c r="F25" s="71"/>
      <c r="G25" s="5">
        <f>G22*0.2%</f>
        <v>0.28415777777777784</v>
      </c>
      <c r="H25" s="47">
        <f t="shared" si="0"/>
        <v>1.0456179097223158E-4</v>
      </c>
      <c r="I25" s="5">
        <f t="shared" si="9"/>
        <v>0</v>
      </c>
      <c r="J25" s="5">
        <f t="shared" si="10"/>
        <v>0</v>
      </c>
      <c r="K25" s="5">
        <f>K22*0.2%</f>
        <v>0.54866666666666664</v>
      </c>
      <c r="L25" s="47">
        <f t="shared" si="1"/>
        <v>1.1807659179469856E-4</v>
      </c>
      <c r="M25" s="5">
        <f t="shared" si="11"/>
        <v>133.87466666666666</v>
      </c>
      <c r="N25" s="5">
        <f t="shared" si="12"/>
        <v>3748.4906666666666</v>
      </c>
      <c r="O25" s="5">
        <f>O22*0.2%</f>
        <v>0.40592</v>
      </c>
      <c r="P25" s="47">
        <f t="shared" si="2"/>
        <v>1.1237869525701472E-4</v>
      </c>
      <c r="Q25" s="5">
        <f t="shared" si="13"/>
        <v>10.95984</v>
      </c>
      <c r="R25" s="5">
        <f t="shared" si="3"/>
        <v>306.87551999999999</v>
      </c>
      <c r="S25" s="5">
        <f>S22*0.2%</f>
        <v>0.4599111111111111</v>
      </c>
      <c r="T25" s="47">
        <f t="shared" si="4"/>
        <v>1.1324895316701514E-4</v>
      </c>
      <c r="U25" s="5">
        <f t="shared" si="14"/>
        <v>0</v>
      </c>
      <c r="V25" s="5">
        <f t="shared" si="15"/>
        <v>0</v>
      </c>
      <c r="W25" s="5">
        <f>W22*0.2%</f>
        <v>0.97961904761904772</v>
      </c>
      <c r="X25" s="47">
        <f t="shared" si="5"/>
        <v>1.2760607147967726E-4</v>
      </c>
      <c r="Y25" s="5">
        <f t="shared" si="16"/>
        <v>51.919809523809526</v>
      </c>
      <c r="Z25" s="5">
        <f t="shared" si="17"/>
        <v>1453.7546666666667</v>
      </c>
      <c r="AA25" s="5">
        <f>AA22*0.2%</f>
        <v>1.1177777777777778</v>
      </c>
      <c r="AB25" s="47">
        <f t="shared" si="6"/>
        <v>1.2584836532115974E-4</v>
      </c>
      <c r="AC25" s="5">
        <f t="shared" si="18"/>
        <v>0</v>
      </c>
      <c r="AD25" s="5">
        <f t="shared" si="19"/>
        <v>0</v>
      </c>
      <c r="AE25" s="5">
        <f>AE22*0.2%</f>
        <v>0.4933333333333334</v>
      </c>
      <c r="AF25" s="47">
        <f t="shared" si="7"/>
        <v>1.1611572789617337E-4</v>
      </c>
      <c r="AG25" s="5">
        <f t="shared" si="20"/>
        <v>38.480000000000004</v>
      </c>
      <c r="AH25" s="5">
        <f t="shared" si="21"/>
        <v>1077.44</v>
      </c>
      <c r="AI25" s="5">
        <f t="shared" si="22"/>
        <v>235.23431619047619</v>
      </c>
      <c r="AJ25" s="5">
        <f t="shared" si="23"/>
        <v>6586.5608533333334</v>
      </c>
      <c r="AK25" s="47">
        <f t="shared" si="8"/>
        <v>1.1943311921904754E-4</v>
      </c>
      <c r="AN25" s="17"/>
    </row>
    <row r="26" spans="1:42" x14ac:dyDescent="0.3">
      <c r="A26" s="67"/>
      <c r="B26" s="79"/>
      <c r="C26" s="15" t="s">
        <v>31</v>
      </c>
      <c r="D26" s="9" t="s">
        <v>114</v>
      </c>
      <c r="E26" s="70" t="s">
        <v>126</v>
      </c>
      <c r="F26" s="71"/>
      <c r="G26" s="5">
        <f>G22*1%</f>
        <v>1.4207888888888891</v>
      </c>
      <c r="H26" s="47">
        <f t="shared" si="0"/>
        <v>5.2280895486115785E-4</v>
      </c>
      <c r="I26" s="5">
        <f t="shared" si="9"/>
        <v>0</v>
      </c>
      <c r="J26" s="5">
        <f t="shared" si="10"/>
        <v>0</v>
      </c>
      <c r="K26" s="5">
        <f>K22*1%</f>
        <v>2.7433333333333332</v>
      </c>
      <c r="L26" s="47">
        <f t="shared" si="1"/>
        <v>5.9038295897349282E-4</v>
      </c>
      <c r="M26" s="5">
        <f t="shared" si="11"/>
        <v>669.37333333333333</v>
      </c>
      <c r="N26" s="5">
        <f t="shared" si="12"/>
        <v>18742.453333333335</v>
      </c>
      <c r="O26" s="5">
        <f>O22*1%</f>
        <v>2.0296000000000003</v>
      </c>
      <c r="P26" s="47">
        <f t="shared" si="2"/>
        <v>5.6189347628507371E-4</v>
      </c>
      <c r="Q26" s="5">
        <f t="shared" si="13"/>
        <v>54.799200000000006</v>
      </c>
      <c r="R26" s="5">
        <f t="shared" si="3"/>
        <v>1534.3776000000003</v>
      </c>
      <c r="S26" s="5">
        <f>S22*1%</f>
        <v>2.2995555555555556</v>
      </c>
      <c r="T26" s="47">
        <f t="shared" si="4"/>
        <v>5.6624476583507573E-4</v>
      </c>
      <c r="U26" s="5">
        <f t="shared" si="14"/>
        <v>0</v>
      </c>
      <c r="V26" s="5">
        <f t="shared" si="15"/>
        <v>0</v>
      </c>
      <c r="W26" s="5">
        <f>W22*1%</f>
        <v>4.8980952380952383</v>
      </c>
      <c r="X26" s="47">
        <f t="shared" si="5"/>
        <v>6.3803035739838621E-4</v>
      </c>
      <c r="Y26" s="5">
        <f t="shared" si="16"/>
        <v>259.59904761904761</v>
      </c>
      <c r="Z26" s="5">
        <f t="shared" si="17"/>
        <v>7268.7733333333326</v>
      </c>
      <c r="AA26" s="5">
        <f>AA22*1%</f>
        <v>5.5888888888888895</v>
      </c>
      <c r="AB26" s="47">
        <f t="shared" si="6"/>
        <v>6.2924182660579879E-4</v>
      </c>
      <c r="AC26" s="5">
        <f t="shared" si="18"/>
        <v>0</v>
      </c>
      <c r="AD26" s="5">
        <f t="shared" si="19"/>
        <v>0</v>
      </c>
      <c r="AE26" s="5">
        <f>AE22*1%</f>
        <v>2.4666666666666668</v>
      </c>
      <c r="AF26" s="47">
        <f t="shared" si="7"/>
        <v>5.805786394808668E-4</v>
      </c>
      <c r="AG26" s="5">
        <f t="shared" si="20"/>
        <v>192.4</v>
      </c>
      <c r="AH26" s="5">
        <f t="shared" si="21"/>
        <v>5387.2</v>
      </c>
      <c r="AI26" s="5">
        <f t="shared" si="22"/>
        <v>1176.171580952381</v>
      </c>
      <c r="AJ26" s="5">
        <f t="shared" si="23"/>
        <v>32932.804266666666</v>
      </c>
      <c r="AK26" s="47">
        <f t="shared" si="8"/>
        <v>5.9716559609523771E-4</v>
      </c>
      <c r="AN26" s="17"/>
    </row>
    <row r="27" spans="1:42" x14ac:dyDescent="0.3">
      <c r="A27" s="67"/>
      <c r="B27" s="79"/>
      <c r="C27" s="15" t="s">
        <v>33</v>
      </c>
      <c r="D27" s="9" t="s">
        <v>115</v>
      </c>
      <c r="E27" s="70" t="s">
        <v>127</v>
      </c>
      <c r="F27" s="71"/>
      <c r="G27" s="5">
        <f>G22*1.5%</f>
        <v>2.1311833333333334</v>
      </c>
      <c r="H27" s="47">
        <f t="shared" si="0"/>
        <v>7.8421343229173666E-4</v>
      </c>
      <c r="I27" s="5">
        <f t="shared" si="9"/>
        <v>0</v>
      </c>
      <c r="J27" s="5">
        <f t="shared" si="10"/>
        <v>0</v>
      </c>
      <c r="K27" s="5">
        <f>K22*1.5%</f>
        <v>4.1149999999999993</v>
      </c>
      <c r="L27" s="47">
        <f t="shared" si="1"/>
        <v>8.8557443846023912E-4</v>
      </c>
      <c r="M27" s="5">
        <f t="shared" si="11"/>
        <v>1004.0599999999998</v>
      </c>
      <c r="N27" s="5">
        <f t="shared" si="12"/>
        <v>28113.679999999997</v>
      </c>
      <c r="O27" s="5">
        <f>O22*1.5%</f>
        <v>3.0444</v>
      </c>
      <c r="P27" s="47">
        <f t="shared" si="2"/>
        <v>8.4284021442761041E-4</v>
      </c>
      <c r="Q27" s="5">
        <f t="shared" si="13"/>
        <v>82.198800000000006</v>
      </c>
      <c r="R27" s="5">
        <f t="shared" si="3"/>
        <v>2301.5664000000002</v>
      </c>
      <c r="S27" s="5">
        <f>S22*1.5%</f>
        <v>3.4493333333333331</v>
      </c>
      <c r="T27" s="47">
        <f t="shared" si="4"/>
        <v>8.4936714875261349E-4</v>
      </c>
      <c r="U27" s="5">
        <f t="shared" si="14"/>
        <v>0</v>
      </c>
      <c r="V27" s="5">
        <f t="shared" si="15"/>
        <v>0</v>
      </c>
      <c r="W27" s="5">
        <f>W22*1.5%</f>
        <v>7.3471428571428579</v>
      </c>
      <c r="X27" s="47">
        <f t="shared" si="5"/>
        <v>9.5704553609757942E-4</v>
      </c>
      <c r="Y27" s="5">
        <f t="shared" si="16"/>
        <v>389.39857142857147</v>
      </c>
      <c r="Z27" s="5">
        <f t="shared" si="17"/>
        <v>10903.160000000002</v>
      </c>
      <c r="AA27" s="5">
        <f>AA22*1.5%</f>
        <v>8.3833333333333329</v>
      </c>
      <c r="AB27" s="47">
        <f t="shared" si="6"/>
        <v>9.4386273990869807E-4</v>
      </c>
      <c r="AC27" s="5">
        <f t="shared" si="18"/>
        <v>0</v>
      </c>
      <c r="AD27" s="5">
        <f t="shared" si="19"/>
        <v>0</v>
      </c>
      <c r="AE27" s="5">
        <f>AE22*1.5%</f>
        <v>3.7</v>
      </c>
      <c r="AF27" s="47">
        <f t="shared" si="7"/>
        <v>8.7086795922130015E-4</v>
      </c>
      <c r="AG27" s="5">
        <f t="shared" si="20"/>
        <v>288.60000000000002</v>
      </c>
      <c r="AH27" s="5">
        <f t="shared" si="21"/>
        <v>8080.8000000000011</v>
      </c>
      <c r="AI27" s="5">
        <f t="shared" si="22"/>
        <v>1764.2573714285713</v>
      </c>
      <c r="AJ27" s="5">
        <f t="shared" si="23"/>
        <v>49399.206399999995</v>
      </c>
      <c r="AK27" s="47">
        <f t="shared" si="8"/>
        <v>8.9574839414285651E-4</v>
      </c>
      <c r="AN27" s="17"/>
    </row>
    <row r="28" spans="1:42" x14ac:dyDescent="0.3">
      <c r="A28" s="67"/>
      <c r="B28" s="79"/>
      <c r="C28" s="15" t="s">
        <v>34</v>
      </c>
      <c r="D28" s="9" t="s">
        <v>116</v>
      </c>
      <c r="E28" s="70" t="s">
        <v>128</v>
      </c>
      <c r="F28" s="71"/>
      <c r="G28" s="5">
        <f>G22*0.6%</f>
        <v>0.85247333333333353</v>
      </c>
      <c r="H28" s="47">
        <f t="shared" si="0"/>
        <v>3.1368537291669472E-4</v>
      </c>
      <c r="I28" s="5">
        <f t="shared" si="9"/>
        <v>0</v>
      </c>
      <c r="J28" s="5">
        <f t="shared" si="10"/>
        <v>0</v>
      </c>
      <c r="K28" s="5">
        <f>K22*0.6%</f>
        <v>1.6459999999999999</v>
      </c>
      <c r="L28" s="47">
        <f t="shared" si="1"/>
        <v>3.542297753840957E-4</v>
      </c>
      <c r="M28" s="5">
        <f t="shared" si="11"/>
        <v>401.62399999999997</v>
      </c>
      <c r="N28" s="5">
        <f t="shared" si="12"/>
        <v>11245.472</v>
      </c>
      <c r="O28" s="5">
        <f>O22*0.6%</f>
        <v>1.2177600000000002</v>
      </c>
      <c r="P28" s="47">
        <f t="shared" si="2"/>
        <v>3.3713608577104422E-4</v>
      </c>
      <c r="Q28" s="5">
        <f t="shared" si="13"/>
        <v>32.879520000000007</v>
      </c>
      <c r="R28" s="5">
        <f t="shared" si="3"/>
        <v>920.62656000000015</v>
      </c>
      <c r="S28" s="5">
        <f>S22*0.6%</f>
        <v>1.3797333333333333</v>
      </c>
      <c r="T28" s="47">
        <f t="shared" si="4"/>
        <v>3.3974685950104541E-4</v>
      </c>
      <c r="U28" s="5">
        <f t="shared" si="14"/>
        <v>0</v>
      </c>
      <c r="V28" s="5">
        <f t="shared" si="15"/>
        <v>0</v>
      </c>
      <c r="W28" s="5">
        <f>W22*0.6%</f>
        <v>2.9388571428571431</v>
      </c>
      <c r="X28" s="47">
        <f t="shared" si="5"/>
        <v>3.8281821443903174E-4</v>
      </c>
      <c r="Y28" s="5">
        <f t="shared" si="16"/>
        <v>155.75942857142857</v>
      </c>
      <c r="Z28" s="5">
        <f t="shared" si="17"/>
        <v>4361.2640000000001</v>
      </c>
      <c r="AA28" s="5">
        <f>AA22*0.6%</f>
        <v>3.3533333333333335</v>
      </c>
      <c r="AB28" s="47">
        <f t="shared" si="6"/>
        <v>3.7754509596347926E-4</v>
      </c>
      <c r="AC28" s="5">
        <f t="shared" si="18"/>
        <v>0</v>
      </c>
      <c r="AD28" s="5">
        <f t="shared" si="19"/>
        <v>0</v>
      </c>
      <c r="AE28" s="5">
        <f>AE22*0.6%</f>
        <v>1.4800000000000002</v>
      </c>
      <c r="AF28" s="47">
        <f t="shared" si="7"/>
        <v>3.4834718368852011E-4</v>
      </c>
      <c r="AG28" s="5">
        <f t="shared" si="20"/>
        <v>115.44000000000001</v>
      </c>
      <c r="AH28" s="5">
        <f t="shared" si="21"/>
        <v>3232.32</v>
      </c>
      <c r="AI28" s="5">
        <f t="shared" si="22"/>
        <v>705.70294857142858</v>
      </c>
      <c r="AJ28" s="5">
        <f t="shared" si="23"/>
        <v>19759.682560000001</v>
      </c>
      <c r="AK28" s="47">
        <f t="shared" si="8"/>
        <v>3.5829935765714264E-4</v>
      </c>
      <c r="AN28" s="17"/>
    </row>
    <row r="29" spans="1:42" x14ac:dyDescent="0.3">
      <c r="A29" s="67"/>
      <c r="B29" s="79"/>
      <c r="C29" s="15" t="s">
        <v>35</v>
      </c>
      <c r="D29" s="16" t="s">
        <v>14</v>
      </c>
      <c r="E29" s="76" t="s">
        <v>129</v>
      </c>
      <c r="F29" s="77"/>
      <c r="G29" s="5">
        <f>G22*2.5%</f>
        <v>3.551972222222223</v>
      </c>
      <c r="H29" s="47">
        <f t="shared" si="0"/>
        <v>1.3070223871528947E-3</v>
      </c>
      <c r="I29" s="5">
        <f t="shared" si="9"/>
        <v>0</v>
      </c>
      <c r="J29" s="5">
        <f t="shared" si="10"/>
        <v>0</v>
      </c>
      <c r="K29" s="5">
        <f>K22*2.5%</f>
        <v>6.8583333333333334</v>
      </c>
      <c r="L29" s="47">
        <f t="shared" si="1"/>
        <v>1.4759573974337322E-3</v>
      </c>
      <c r="M29" s="5">
        <f t="shared" si="11"/>
        <v>1673.4333333333334</v>
      </c>
      <c r="N29" s="5">
        <f t="shared" si="12"/>
        <v>46856.133333333331</v>
      </c>
      <c r="O29" s="5">
        <f>O22*2.5%</f>
        <v>5.0740000000000007</v>
      </c>
      <c r="P29" s="47">
        <f t="shared" si="2"/>
        <v>1.4047336907126843E-3</v>
      </c>
      <c r="Q29" s="5">
        <f t="shared" si="13"/>
        <v>136.99800000000002</v>
      </c>
      <c r="R29" s="5">
        <f t="shared" si="3"/>
        <v>3835.9440000000004</v>
      </c>
      <c r="S29" s="5">
        <f>S22*2.5%</f>
        <v>5.7488888888888887</v>
      </c>
      <c r="T29" s="47">
        <f t="shared" si="4"/>
        <v>1.4156119145876892E-3</v>
      </c>
      <c r="U29" s="5">
        <f t="shared" si="14"/>
        <v>0</v>
      </c>
      <c r="V29" s="5">
        <f t="shared" si="15"/>
        <v>0</v>
      </c>
      <c r="W29" s="5">
        <f>W22*2.5%</f>
        <v>12.245238095238097</v>
      </c>
      <c r="X29" s="47">
        <f t="shared" si="5"/>
        <v>1.5950758934959656E-3</v>
      </c>
      <c r="Y29" s="5">
        <f t="shared" si="16"/>
        <v>648.9976190476192</v>
      </c>
      <c r="Z29" s="5">
        <f t="shared" si="17"/>
        <v>18171.933333333338</v>
      </c>
      <c r="AA29" s="5">
        <f>AA22*2.5%</f>
        <v>13.972222222222223</v>
      </c>
      <c r="AB29" s="47">
        <f t="shared" si="6"/>
        <v>1.5731045665144971E-3</v>
      </c>
      <c r="AC29" s="5">
        <f t="shared" si="18"/>
        <v>0</v>
      </c>
      <c r="AD29" s="5">
        <f t="shared" si="19"/>
        <v>0</v>
      </c>
      <c r="AE29" s="5">
        <f>AE22*2.5%</f>
        <v>6.1666666666666679</v>
      </c>
      <c r="AF29" s="47">
        <f t="shared" si="7"/>
        <v>1.4514465987021672E-3</v>
      </c>
      <c r="AG29" s="5">
        <f t="shared" si="20"/>
        <v>481.00000000000011</v>
      </c>
      <c r="AH29" s="5">
        <f t="shared" si="21"/>
        <v>13468.000000000004</v>
      </c>
      <c r="AI29" s="5">
        <f t="shared" si="22"/>
        <v>2940.4289523809525</v>
      </c>
      <c r="AJ29" s="5">
        <f t="shared" si="23"/>
        <v>82332.010666666669</v>
      </c>
      <c r="AK29" s="47">
        <f t="shared" si="8"/>
        <v>1.4929139902380942E-3</v>
      </c>
    </row>
    <row r="30" spans="1:42" x14ac:dyDescent="0.3">
      <c r="A30" s="67"/>
      <c r="B30" s="79"/>
      <c r="C30" s="15" t="s">
        <v>46</v>
      </c>
      <c r="D30" s="16" t="s">
        <v>16</v>
      </c>
      <c r="E30" s="76" t="s">
        <v>193</v>
      </c>
      <c r="F30" s="77"/>
      <c r="G30" s="5">
        <f>G22*3%</f>
        <v>4.2623666666666669</v>
      </c>
      <c r="H30" s="47">
        <f t="shared" si="0"/>
        <v>1.5684268645834733E-3</v>
      </c>
      <c r="I30" s="5">
        <f t="shared" si="9"/>
        <v>0</v>
      </c>
      <c r="J30" s="5">
        <f t="shared" si="10"/>
        <v>0</v>
      </c>
      <c r="K30" s="5">
        <f>K22*3%</f>
        <v>8.2299999999999986</v>
      </c>
      <c r="L30" s="47">
        <f t="shared" si="1"/>
        <v>1.7711488769204782E-3</v>
      </c>
      <c r="M30" s="5">
        <f t="shared" si="11"/>
        <v>2008.1199999999997</v>
      </c>
      <c r="N30" s="5">
        <f t="shared" si="12"/>
        <v>56227.359999999993</v>
      </c>
      <c r="O30" s="5">
        <f>O22*3%</f>
        <v>6.0888</v>
      </c>
      <c r="P30" s="47">
        <f t="shared" si="2"/>
        <v>1.6856804288552208E-3</v>
      </c>
      <c r="Q30" s="5">
        <f t="shared" si="13"/>
        <v>164.39760000000001</v>
      </c>
      <c r="R30" s="5">
        <f t="shared" si="3"/>
        <v>4603.1328000000003</v>
      </c>
      <c r="S30" s="5">
        <f>S22*3%</f>
        <v>6.8986666666666663</v>
      </c>
      <c r="T30" s="47">
        <f t="shared" si="4"/>
        <v>1.698734297505227E-3</v>
      </c>
      <c r="U30" s="5">
        <f t="shared" si="14"/>
        <v>0</v>
      </c>
      <c r="V30" s="5">
        <f t="shared" si="15"/>
        <v>0</v>
      </c>
      <c r="W30" s="5">
        <f>W22*3%</f>
        <v>14.694285714285716</v>
      </c>
      <c r="X30" s="47">
        <f t="shared" si="5"/>
        <v>1.9140910721951588E-3</v>
      </c>
      <c r="Y30" s="5">
        <f t="shared" si="16"/>
        <v>778.79714285714294</v>
      </c>
      <c r="Z30" s="5">
        <f t="shared" si="17"/>
        <v>21806.320000000003</v>
      </c>
      <c r="AA30" s="5">
        <f>AA22*3%</f>
        <v>16.766666666666666</v>
      </c>
      <c r="AB30" s="47">
        <f t="shared" si="6"/>
        <v>1.8877254798173961E-3</v>
      </c>
      <c r="AC30" s="5">
        <f t="shared" si="18"/>
        <v>0</v>
      </c>
      <c r="AD30" s="5">
        <f t="shared" si="19"/>
        <v>0</v>
      </c>
      <c r="AE30" s="5">
        <f>AE22*3%</f>
        <v>7.4</v>
      </c>
      <c r="AF30" s="47">
        <f t="shared" si="7"/>
        <v>1.7417359184426003E-3</v>
      </c>
      <c r="AG30" s="5">
        <f t="shared" si="20"/>
        <v>577.20000000000005</v>
      </c>
      <c r="AH30" s="5">
        <f t="shared" si="21"/>
        <v>16161.600000000002</v>
      </c>
      <c r="AI30" s="5">
        <f t="shared" si="22"/>
        <v>3528.5147428571427</v>
      </c>
      <c r="AJ30" s="5">
        <f t="shared" si="23"/>
        <v>98798.412799999991</v>
      </c>
      <c r="AK30" s="47">
        <f t="shared" si="8"/>
        <v>1.791496788285713E-3</v>
      </c>
    </row>
    <row r="31" spans="1:42" x14ac:dyDescent="0.3">
      <c r="A31" s="67"/>
      <c r="B31" s="80"/>
      <c r="C31" s="11" t="s">
        <v>49</v>
      </c>
      <c r="D31" s="12" t="s">
        <v>7</v>
      </c>
      <c r="E31" s="72" t="s">
        <v>130</v>
      </c>
      <c r="F31" s="73"/>
      <c r="G31" s="13">
        <f>SUM(G22:G30)</f>
        <v>165.94814222222226</v>
      </c>
      <c r="H31" s="46">
        <f t="shared" si="0"/>
        <v>6.1064085927783236E-2</v>
      </c>
      <c r="I31" s="13">
        <f t="shared" si="9"/>
        <v>0</v>
      </c>
      <c r="J31" s="13">
        <f t="shared" si="10"/>
        <v>0</v>
      </c>
      <c r="K31" s="13">
        <f>SUM(K22:K30)</f>
        <v>320.42133333333339</v>
      </c>
      <c r="L31" s="46">
        <f t="shared" si="1"/>
        <v>6.8956729608103978E-2</v>
      </c>
      <c r="M31" s="13">
        <f t="shared" si="11"/>
        <v>78182.805333333352</v>
      </c>
      <c r="N31" s="13">
        <f t="shared" si="12"/>
        <v>2189118.549333334</v>
      </c>
      <c r="O31" s="13">
        <f>SUM(O22:O30)</f>
        <v>237.05727999999999</v>
      </c>
      <c r="P31" s="46">
        <f t="shared" si="2"/>
        <v>6.5629158030096599E-2</v>
      </c>
      <c r="Q31" s="13">
        <f t="shared" si="13"/>
        <v>6400.5465599999998</v>
      </c>
      <c r="R31" s="13">
        <f t="shared" si="3"/>
        <v>179215.30367999998</v>
      </c>
      <c r="S31" s="13">
        <f>SUM(S22:S30)</f>
        <v>268.58808888888882</v>
      </c>
      <c r="T31" s="46">
        <f t="shared" si="4"/>
        <v>6.6137388649536819E-2</v>
      </c>
      <c r="U31" s="13">
        <f t="shared" si="14"/>
        <v>0</v>
      </c>
      <c r="V31" s="13">
        <f t="shared" si="15"/>
        <v>0</v>
      </c>
      <c r="W31" s="13">
        <f>SUM(W22:W30)</f>
        <v>572.09752380952386</v>
      </c>
      <c r="X31" s="46">
        <f t="shared" si="5"/>
        <v>7.4521945744131513E-2</v>
      </c>
      <c r="Y31" s="13">
        <f t="shared" si="16"/>
        <v>30321.168761904766</v>
      </c>
      <c r="Z31" s="13">
        <f t="shared" si="17"/>
        <v>848992.72533333348</v>
      </c>
      <c r="AA31" s="13">
        <f>SUM(AA22:AA30)</f>
        <v>652.78222222222212</v>
      </c>
      <c r="AB31" s="46">
        <f t="shared" si="6"/>
        <v>7.3495445347557281E-2</v>
      </c>
      <c r="AC31" s="13">
        <f t="shared" si="18"/>
        <v>0</v>
      </c>
      <c r="AD31" s="13">
        <f t="shared" si="19"/>
        <v>0</v>
      </c>
      <c r="AE31" s="13">
        <f>SUM(AE22:AE30)</f>
        <v>288.10666666666668</v>
      </c>
      <c r="AF31" s="46">
        <f t="shared" si="7"/>
        <v>6.7811585091365242E-2</v>
      </c>
      <c r="AG31" s="13">
        <f t="shared" si="20"/>
        <v>22472.32</v>
      </c>
      <c r="AH31" s="13">
        <f t="shared" si="21"/>
        <v>629224.95999999996</v>
      </c>
      <c r="AI31" s="13">
        <f t="shared" si="22"/>
        <v>137376.84065523813</v>
      </c>
      <c r="AJ31" s="13">
        <f t="shared" si="23"/>
        <v>3846551.5383466678</v>
      </c>
      <c r="AK31" s="46">
        <f t="shared" si="8"/>
        <v>6.9748941623923782E-2</v>
      </c>
    </row>
    <row r="32" spans="1:42" ht="15" customHeight="1" x14ac:dyDescent="0.3">
      <c r="A32" s="67"/>
      <c r="B32" s="78" t="s">
        <v>43</v>
      </c>
      <c r="C32" s="15" t="s">
        <v>50</v>
      </c>
      <c r="D32" s="16" t="s">
        <v>43</v>
      </c>
      <c r="E32" s="76" t="s">
        <v>102</v>
      </c>
      <c r="F32" s="77"/>
      <c r="G32" s="5">
        <f>I4/30*70/28</f>
        <v>106.55916666666667</v>
      </c>
      <c r="H32" s="47">
        <f t="shared" si="0"/>
        <v>3.9210671614586828E-2</v>
      </c>
      <c r="I32" s="5">
        <f t="shared" si="9"/>
        <v>0</v>
      </c>
      <c r="J32" s="5">
        <f t="shared" si="10"/>
        <v>0</v>
      </c>
      <c r="K32" s="5">
        <f>M4/30*70/28</f>
        <v>205.75</v>
      </c>
      <c r="L32" s="47">
        <f t="shared" si="1"/>
        <v>4.4278721923011966E-2</v>
      </c>
      <c r="M32" s="5">
        <f t="shared" si="11"/>
        <v>50203</v>
      </c>
      <c r="N32" s="5">
        <f t="shared" si="12"/>
        <v>1405684</v>
      </c>
      <c r="O32" s="5">
        <f>Q4/30*70/28</f>
        <v>152.22000000000003</v>
      </c>
      <c r="P32" s="47">
        <f t="shared" si="2"/>
        <v>4.2142010721380525E-2</v>
      </c>
      <c r="Q32" s="5">
        <f t="shared" si="13"/>
        <v>4109.9400000000005</v>
      </c>
      <c r="R32" s="5">
        <f t="shared" si="3"/>
        <v>115078.32</v>
      </c>
      <c r="S32" s="5">
        <f>U4/30*70/28</f>
        <v>172.46666666666667</v>
      </c>
      <c r="T32" s="47">
        <f t="shared" si="4"/>
        <v>4.246835743763068E-2</v>
      </c>
      <c r="U32" s="5">
        <f t="shared" si="14"/>
        <v>0</v>
      </c>
      <c r="V32" s="5">
        <f t="shared" si="15"/>
        <v>0</v>
      </c>
      <c r="W32" s="5">
        <f>Y4/30*70/28</f>
        <v>370</v>
      </c>
      <c r="X32" s="47">
        <f t="shared" si="5"/>
        <v>4.8196537789086724E-2</v>
      </c>
      <c r="Y32" s="5">
        <f t="shared" si="16"/>
        <v>19610</v>
      </c>
      <c r="Z32" s="5">
        <f t="shared" si="17"/>
        <v>549080</v>
      </c>
      <c r="AA32" s="5">
        <f>AC4/30*70/28</f>
        <v>419.16666666666663</v>
      </c>
      <c r="AB32" s="47">
        <f t="shared" si="6"/>
        <v>4.7193136995434905E-2</v>
      </c>
      <c r="AC32" s="5">
        <f t="shared" si="18"/>
        <v>0</v>
      </c>
      <c r="AD32" s="5">
        <f t="shared" si="19"/>
        <v>0</v>
      </c>
      <c r="AE32" s="5">
        <f>AG4/30*70/28</f>
        <v>185</v>
      </c>
      <c r="AF32" s="47">
        <f t="shared" si="7"/>
        <v>4.354339796106501E-2</v>
      </c>
      <c r="AG32" s="5">
        <f t="shared" si="20"/>
        <v>14430</v>
      </c>
      <c r="AH32" s="5">
        <f t="shared" si="21"/>
        <v>404040</v>
      </c>
      <c r="AI32" s="5">
        <f t="shared" si="22"/>
        <v>88352.94</v>
      </c>
      <c r="AJ32" s="5">
        <f t="shared" si="23"/>
        <v>2473882.3200000003</v>
      </c>
      <c r="AK32" s="47">
        <f t="shared" si="8"/>
        <v>4.4858536744396056E-2</v>
      </c>
    </row>
    <row r="33" spans="1:37" x14ac:dyDescent="0.3">
      <c r="A33" s="67"/>
      <c r="B33" s="79"/>
      <c r="C33" s="15" t="s">
        <v>56</v>
      </c>
      <c r="D33" s="16" t="s">
        <v>9</v>
      </c>
      <c r="E33" s="76" t="s">
        <v>132</v>
      </c>
      <c r="F33" s="77"/>
      <c r="G33" s="5">
        <f>G32*8%</f>
        <v>8.5247333333333337</v>
      </c>
      <c r="H33" s="47">
        <f t="shared" si="0"/>
        <v>3.1368537291669467E-3</v>
      </c>
      <c r="I33" s="5">
        <f t="shared" si="9"/>
        <v>0</v>
      </c>
      <c r="J33" s="5">
        <f t="shared" si="10"/>
        <v>0</v>
      </c>
      <c r="K33" s="5">
        <f>K32*8%</f>
        <v>16.46</v>
      </c>
      <c r="L33" s="47">
        <f t="shared" si="1"/>
        <v>3.5422977538409573E-3</v>
      </c>
      <c r="M33" s="5">
        <f t="shared" si="11"/>
        <v>4016.2400000000002</v>
      </c>
      <c r="N33" s="5">
        <f t="shared" si="12"/>
        <v>112454.72</v>
      </c>
      <c r="O33" s="5">
        <f>O32*8%</f>
        <v>12.177600000000002</v>
      </c>
      <c r="P33" s="47">
        <f t="shared" si="2"/>
        <v>3.3713608577104421E-3</v>
      </c>
      <c r="Q33" s="5">
        <f t="shared" si="13"/>
        <v>328.79520000000002</v>
      </c>
      <c r="R33" s="5">
        <f t="shared" si="3"/>
        <v>9206.2656000000006</v>
      </c>
      <c r="S33" s="5">
        <f>S32*8%</f>
        <v>13.797333333333334</v>
      </c>
      <c r="T33" s="47">
        <f t="shared" si="4"/>
        <v>3.3974685950104544E-3</v>
      </c>
      <c r="U33" s="5">
        <f t="shared" si="14"/>
        <v>0</v>
      </c>
      <c r="V33" s="5">
        <f t="shared" si="15"/>
        <v>0</v>
      </c>
      <c r="W33" s="5">
        <f>W32*8%</f>
        <v>29.6</v>
      </c>
      <c r="X33" s="47">
        <f t="shared" si="5"/>
        <v>3.8557230231269384E-3</v>
      </c>
      <c r="Y33" s="5">
        <f t="shared" si="16"/>
        <v>1568.8000000000002</v>
      </c>
      <c r="Z33" s="5">
        <f t="shared" si="17"/>
        <v>43926.400000000009</v>
      </c>
      <c r="AA33" s="5">
        <f>AA32*8%</f>
        <v>33.533333333333331</v>
      </c>
      <c r="AB33" s="47">
        <f t="shared" si="6"/>
        <v>3.7754509596347923E-3</v>
      </c>
      <c r="AC33" s="5">
        <f t="shared" si="18"/>
        <v>0</v>
      </c>
      <c r="AD33" s="5">
        <f t="shared" si="19"/>
        <v>0</v>
      </c>
      <c r="AE33" s="5">
        <f>AE32*8%</f>
        <v>14.8</v>
      </c>
      <c r="AF33" s="47">
        <f t="shared" si="7"/>
        <v>3.4834718368852006E-3</v>
      </c>
      <c r="AG33" s="5">
        <f t="shared" si="20"/>
        <v>1154.4000000000001</v>
      </c>
      <c r="AH33" s="5">
        <f t="shared" si="21"/>
        <v>32323.200000000004</v>
      </c>
      <c r="AI33" s="5">
        <f t="shared" si="22"/>
        <v>7068.235200000001</v>
      </c>
      <c r="AJ33" s="5">
        <f t="shared" si="23"/>
        <v>197910.58560000002</v>
      </c>
      <c r="AK33" s="47">
        <f t="shared" si="8"/>
        <v>3.588682939551684E-3</v>
      </c>
    </row>
    <row r="34" spans="1:37" x14ac:dyDescent="0.3">
      <c r="A34" s="67"/>
      <c r="B34" s="79"/>
      <c r="C34" s="15" t="s">
        <v>57</v>
      </c>
      <c r="D34" s="16" t="s">
        <v>12</v>
      </c>
      <c r="E34" s="76"/>
      <c r="F34" s="77"/>
      <c r="G34" s="5"/>
      <c r="H34" s="47">
        <f t="shared" si="0"/>
        <v>0</v>
      </c>
      <c r="I34" s="5">
        <f t="shared" si="9"/>
        <v>0</v>
      </c>
      <c r="J34" s="5">
        <f t="shared" si="10"/>
        <v>0</v>
      </c>
      <c r="K34" s="5"/>
      <c r="L34" s="47">
        <f t="shared" si="1"/>
        <v>0</v>
      </c>
      <c r="M34" s="5">
        <f t="shared" si="11"/>
        <v>0</v>
      </c>
      <c r="N34" s="5">
        <f t="shared" si="12"/>
        <v>0</v>
      </c>
      <c r="O34" s="5"/>
      <c r="P34" s="47">
        <f t="shared" si="2"/>
        <v>0</v>
      </c>
      <c r="Q34" s="5">
        <f t="shared" si="13"/>
        <v>0</v>
      </c>
      <c r="R34" s="5">
        <f t="shared" si="3"/>
        <v>0</v>
      </c>
      <c r="S34" s="5"/>
      <c r="T34" s="47">
        <f t="shared" si="4"/>
        <v>0</v>
      </c>
      <c r="U34" s="5">
        <f t="shared" si="14"/>
        <v>0</v>
      </c>
      <c r="V34" s="5">
        <f t="shared" si="15"/>
        <v>0</v>
      </c>
      <c r="W34" s="5"/>
      <c r="X34" s="47">
        <f t="shared" si="5"/>
        <v>0</v>
      </c>
      <c r="Y34" s="5">
        <f t="shared" si="16"/>
        <v>0</v>
      </c>
      <c r="Z34" s="5">
        <f t="shared" si="17"/>
        <v>0</v>
      </c>
      <c r="AA34" s="5"/>
      <c r="AB34" s="47">
        <f t="shared" si="6"/>
        <v>0</v>
      </c>
      <c r="AC34" s="5">
        <f t="shared" si="18"/>
        <v>0</v>
      </c>
      <c r="AD34" s="5">
        <f t="shared" si="19"/>
        <v>0</v>
      </c>
      <c r="AE34" s="5"/>
      <c r="AF34" s="47">
        <f t="shared" si="7"/>
        <v>0</v>
      </c>
      <c r="AG34" s="5">
        <f t="shared" si="20"/>
        <v>0</v>
      </c>
      <c r="AH34" s="5">
        <f t="shared" si="21"/>
        <v>0</v>
      </c>
      <c r="AI34" s="5">
        <f t="shared" si="22"/>
        <v>0</v>
      </c>
      <c r="AJ34" s="5">
        <f t="shared" si="23"/>
        <v>0</v>
      </c>
      <c r="AK34" s="47">
        <f t="shared" si="8"/>
        <v>0</v>
      </c>
    </row>
    <row r="35" spans="1:37" x14ac:dyDescent="0.3">
      <c r="A35" s="67"/>
      <c r="B35" s="79"/>
      <c r="C35" s="15" t="s">
        <v>59</v>
      </c>
      <c r="D35" s="9" t="s">
        <v>100</v>
      </c>
      <c r="E35" s="76" t="s">
        <v>134</v>
      </c>
      <c r="F35" s="77"/>
      <c r="G35" s="5">
        <f>G32*0.2%</f>
        <v>0.21311833333333335</v>
      </c>
      <c r="H35" s="47">
        <f t="shared" si="0"/>
        <v>7.8421343229173666E-5</v>
      </c>
      <c r="I35" s="5">
        <f t="shared" si="9"/>
        <v>0</v>
      </c>
      <c r="J35" s="5">
        <f t="shared" si="10"/>
        <v>0</v>
      </c>
      <c r="K35" s="5">
        <f>K32*0.2%</f>
        <v>0.41150000000000003</v>
      </c>
      <c r="L35" s="47">
        <f t="shared" si="1"/>
        <v>8.8557443846023939E-5</v>
      </c>
      <c r="M35" s="5">
        <f t="shared" si="11"/>
        <v>100.40600000000001</v>
      </c>
      <c r="N35" s="5">
        <f t="shared" si="12"/>
        <v>2811.3680000000004</v>
      </c>
      <c r="O35" s="5">
        <f>O32*0.2%</f>
        <v>0.30444000000000004</v>
      </c>
      <c r="P35" s="47">
        <f t="shared" si="2"/>
        <v>8.4284021442761054E-5</v>
      </c>
      <c r="Q35" s="5">
        <f t="shared" si="13"/>
        <v>8.2198800000000016</v>
      </c>
      <c r="R35" s="5">
        <f t="shared" si="3"/>
        <v>230.15664000000004</v>
      </c>
      <c r="S35" s="5">
        <f>S32*0.2%</f>
        <v>0.34493333333333337</v>
      </c>
      <c r="T35" s="47">
        <f t="shared" si="4"/>
        <v>8.4936714875261365E-5</v>
      </c>
      <c r="U35" s="5">
        <f t="shared" si="14"/>
        <v>0</v>
      </c>
      <c r="V35" s="5">
        <f t="shared" si="15"/>
        <v>0</v>
      </c>
      <c r="W35" s="5">
        <f>W32*0.2%</f>
        <v>0.74</v>
      </c>
      <c r="X35" s="47">
        <f t="shared" si="5"/>
        <v>9.639307557817345E-5</v>
      </c>
      <c r="Y35" s="5">
        <f t="shared" si="16"/>
        <v>39.22</v>
      </c>
      <c r="Z35" s="5">
        <f t="shared" si="17"/>
        <v>1098.1599999999999</v>
      </c>
      <c r="AA35" s="5">
        <f>AA32*0.2%</f>
        <v>0.83833333333333326</v>
      </c>
      <c r="AB35" s="47">
        <f t="shared" si="6"/>
        <v>9.4386273990869801E-5</v>
      </c>
      <c r="AC35" s="5">
        <f t="shared" si="18"/>
        <v>0</v>
      </c>
      <c r="AD35" s="5">
        <f t="shared" si="19"/>
        <v>0</v>
      </c>
      <c r="AE35" s="5">
        <f>AE32*0.2%</f>
        <v>0.37</v>
      </c>
      <c r="AF35" s="47">
        <f t="shared" si="7"/>
        <v>8.7086795922130015E-5</v>
      </c>
      <c r="AG35" s="5">
        <f t="shared" si="20"/>
        <v>28.86</v>
      </c>
      <c r="AH35" s="5">
        <f t="shared" si="21"/>
        <v>808.07999999999993</v>
      </c>
      <c r="AI35" s="5">
        <f t="shared" si="22"/>
        <v>176.70588000000004</v>
      </c>
      <c r="AJ35" s="5">
        <f t="shared" si="23"/>
        <v>4947.7646400000012</v>
      </c>
      <c r="AK35" s="47">
        <f t="shared" si="8"/>
        <v>8.9717073488792114E-5</v>
      </c>
    </row>
    <row r="36" spans="1:37" x14ac:dyDescent="0.3">
      <c r="A36" s="67"/>
      <c r="B36" s="79"/>
      <c r="C36" s="15" t="s">
        <v>60</v>
      </c>
      <c r="D36" s="9" t="s">
        <v>114</v>
      </c>
      <c r="E36" s="76" t="s">
        <v>135</v>
      </c>
      <c r="F36" s="77"/>
      <c r="G36" s="5">
        <f>G32*1%</f>
        <v>1.0655916666666667</v>
      </c>
      <c r="H36" s="47">
        <f t="shared" si="0"/>
        <v>3.9210671614586833E-4</v>
      </c>
      <c r="I36" s="5">
        <f t="shared" si="9"/>
        <v>0</v>
      </c>
      <c r="J36" s="5">
        <f t="shared" si="10"/>
        <v>0</v>
      </c>
      <c r="K36" s="5">
        <f>K32*1%</f>
        <v>2.0575000000000001</v>
      </c>
      <c r="L36" s="47">
        <f t="shared" si="1"/>
        <v>4.4278721923011967E-4</v>
      </c>
      <c r="M36" s="5">
        <f t="shared" si="11"/>
        <v>502.03000000000003</v>
      </c>
      <c r="N36" s="5">
        <f t="shared" si="12"/>
        <v>14056.84</v>
      </c>
      <c r="O36" s="5">
        <f>O32*1%</f>
        <v>1.5222000000000002</v>
      </c>
      <c r="P36" s="47">
        <f t="shared" si="2"/>
        <v>4.2142010721380526E-4</v>
      </c>
      <c r="Q36" s="5">
        <f t="shared" si="13"/>
        <v>41.099400000000003</v>
      </c>
      <c r="R36" s="5">
        <f t="shared" si="3"/>
        <v>1150.7832000000001</v>
      </c>
      <c r="S36" s="5">
        <f>S32*1%</f>
        <v>1.7246666666666668</v>
      </c>
      <c r="T36" s="47">
        <f t="shared" si="4"/>
        <v>4.246835743763068E-4</v>
      </c>
      <c r="U36" s="5">
        <f t="shared" si="14"/>
        <v>0</v>
      </c>
      <c r="V36" s="5">
        <f t="shared" si="15"/>
        <v>0</v>
      </c>
      <c r="W36" s="5">
        <f>W32*1%</f>
        <v>3.7</v>
      </c>
      <c r="X36" s="47">
        <f t="shared" si="5"/>
        <v>4.819653778908673E-4</v>
      </c>
      <c r="Y36" s="5">
        <f t="shared" si="16"/>
        <v>196.10000000000002</v>
      </c>
      <c r="Z36" s="5">
        <f t="shared" si="17"/>
        <v>5490.8000000000011</v>
      </c>
      <c r="AA36" s="5">
        <f>AA32*1%</f>
        <v>4.1916666666666664</v>
      </c>
      <c r="AB36" s="47">
        <f t="shared" si="6"/>
        <v>4.7193136995434903E-4</v>
      </c>
      <c r="AC36" s="5">
        <f t="shared" si="18"/>
        <v>0</v>
      </c>
      <c r="AD36" s="5">
        <f t="shared" si="19"/>
        <v>0</v>
      </c>
      <c r="AE36" s="5">
        <f>AE32*1%</f>
        <v>1.85</v>
      </c>
      <c r="AF36" s="47">
        <f t="shared" si="7"/>
        <v>4.3543397961065007E-4</v>
      </c>
      <c r="AG36" s="5">
        <f t="shared" si="20"/>
        <v>144.30000000000001</v>
      </c>
      <c r="AH36" s="5">
        <f t="shared" si="21"/>
        <v>4040.4000000000005</v>
      </c>
      <c r="AI36" s="5">
        <f t="shared" si="22"/>
        <v>883.52940000000012</v>
      </c>
      <c r="AJ36" s="5">
        <f t="shared" si="23"/>
        <v>24738.823200000003</v>
      </c>
      <c r="AK36" s="47">
        <f t="shared" si="8"/>
        <v>4.485853674439605E-4</v>
      </c>
    </row>
    <row r="37" spans="1:37" x14ac:dyDescent="0.3">
      <c r="A37" s="67"/>
      <c r="B37" s="79"/>
      <c r="C37" s="15" t="s">
        <v>61</v>
      </c>
      <c r="D37" s="9" t="s">
        <v>115</v>
      </c>
      <c r="E37" s="76" t="s">
        <v>136</v>
      </c>
      <c r="F37" s="77"/>
      <c r="G37" s="5">
        <f>G32*1.5%</f>
        <v>1.5983875000000001</v>
      </c>
      <c r="H37" s="47">
        <f t="shared" si="0"/>
        <v>5.8816007421880244E-4</v>
      </c>
      <c r="I37" s="5">
        <f t="shared" si="9"/>
        <v>0</v>
      </c>
      <c r="J37" s="5">
        <f t="shared" si="10"/>
        <v>0</v>
      </c>
      <c r="K37" s="5">
        <f>K32*1.5%</f>
        <v>3.0862499999999997</v>
      </c>
      <c r="L37" s="47">
        <f t="shared" si="1"/>
        <v>6.6418082884517934E-4</v>
      </c>
      <c r="M37" s="5">
        <f t="shared" si="11"/>
        <v>753.04499999999996</v>
      </c>
      <c r="N37" s="5">
        <f t="shared" si="12"/>
        <v>21085.26</v>
      </c>
      <c r="O37" s="5">
        <f>O32*1.5%</f>
        <v>2.2833000000000001</v>
      </c>
      <c r="P37" s="47">
        <f t="shared" si="2"/>
        <v>6.3213016082070783E-4</v>
      </c>
      <c r="Q37" s="5">
        <f t="shared" si="13"/>
        <v>61.649100000000004</v>
      </c>
      <c r="R37" s="5">
        <f t="shared" si="3"/>
        <v>1726.1748000000002</v>
      </c>
      <c r="S37" s="5">
        <f>S32*1.5%</f>
        <v>2.5869999999999997</v>
      </c>
      <c r="T37" s="47">
        <f t="shared" si="4"/>
        <v>6.3702536156446006E-4</v>
      </c>
      <c r="U37" s="5">
        <f t="shared" si="14"/>
        <v>0</v>
      </c>
      <c r="V37" s="5">
        <f t="shared" si="15"/>
        <v>0</v>
      </c>
      <c r="W37" s="5">
        <f>W32*1.5%</f>
        <v>5.55</v>
      </c>
      <c r="X37" s="47">
        <f t="shared" si="5"/>
        <v>7.2294806683630088E-4</v>
      </c>
      <c r="Y37" s="5">
        <f t="shared" si="16"/>
        <v>294.14999999999998</v>
      </c>
      <c r="Z37" s="5">
        <f t="shared" si="17"/>
        <v>8236.1999999999989</v>
      </c>
      <c r="AA37" s="5">
        <f>AA32*1.5%</f>
        <v>6.2874999999999988</v>
      </c>
      <c r="AB37" s="47">
        <f t="shared" si="6"/>
        <v>7.078970549315235E-4</v>
      </c>
      <c r="AC37" s="5">
        <f t="shared" si="18"/>
        <v>0</v>
      </c>
      <c r="AD37" s="5">
        <f t="shared" si="19"/>
        <v>0</v>
      </c>
      <c r="AE37" s="5">
        <f>AE32*1.5%</f>
        <v>2.7749999999999999</v>
      </c>
      <c r="AF37" s="47">
        <f t="shared" si="7"/>
        <v>6.5315096941597503E-4</v>
      </c>
      <c r="AG37" s="5">
        <f t="shared" si="20"/>
        <v>216.45</v>
      </c>
      <c r="AH37" s="5">
        <f t="shared" si="21"/>
        <v>6060.5999999999995</v>
      </c>
      <c r="AI37" s="5">
        <f t="shared" si="22"/>
        <v>1325.2940999999998</v>
      </c>
      <c r="AJ37" s="5">
        <f t="shared" si="23"/>
        <v>37108.234799999998</v>
      </c>
      <c r="AK37" s="47">
        <f t="shared" si="8"/>
        <v>6.7287805116594064E-4</v>
      </c>
    </row>
    <row r="38" spans="1:37" x14ac:dyDescent="0.3">
      <c r="A38" s="67"/>
      <c r="B38" s="79"/>
      <c r="C38" s="15" t="s">
        <v>62</v>
      </c>
      <c r="D38" s="9" t="s">
        <v>116</v>
      </c>
      <c r="E38" s="76" t="s">
        <v>137</v>
      </c>
      <c r="F38" s="77"/>
      <c r="G38" s="5">
        <f>G32*0.6%</f>
        <v>0.63935500000000001</v>
      </c>
      <c r="H38" s="47">
        <f t="shared" si="0"/>
        <v>2.3526402968752097E-4</v>
      </c>
      <c r="I38" s="5">
        <f t="shared" si="9"/>
        <v>0</v>
      </c>
      <c r="J38" s="5">
        <f t="shared" si="10"/>
        <v>0</v>
      </c>
      <c r="K38" s="5">
        <f>K32*0.6%</f>
        <v>1.2344999999999999</v>
      </c>
      <c r="L38" s="47">
        <f t="shared" si="1"/>
        <v>2.6567233153807174E-4</v>
      </c>
      <c r="M38" s="5">
        <f t="shared" si="11"/>
        <v>301.21799999999996</v>
      </c>
      <c r="N38" s="5">
        <f t="shared" si="12"/>
        <v>8434.1039999999994</v>
      </c>
      <c r="O38" s="5">
        <f>O32*0.6%</f>
        <v>0.91332000000000013</v>
      </c>
      <c r="P38" s="47">
        <f t="shared" si="2"/>
        <v>2.5285206432828318E-4</v>
      </c>
      <c r="Q38" s="5">
        <f t="shared" si="13"/>
        <v>24.659640000000003</v>
      </c>
      <c r="R38" s="5">
        <f t="shared" si="3"/>
        <v>690.46992000000012</v>
      </c>
      <c r="S38" s="5">
        <f>S32*0.6%</f>
        <v>1.0347999999999999</v>
      </c>
      <c r="T38" s="47">
        <f t="shared" si="4"/>
        <v>2.5481014462578407E-4</v>
      </c>
      <c r="U38" s="5">
        <f t="shared" si="14"/>
        <v>0</v>
      </c>
      <c r="V38" s="5">
        <f t="shared" si="15"/>
        <v>0</v>
      </c>
      <c r="W38" s="5">
        <f>W32*0.6%</f>
        <v>2.2200000000000002</v>
      </c>
      <c r="X38" s="47">
        <f t="shared" si="5"/>
        <v>2.891792267345204E-4</v>
      </c>
      <c r="Y38" s="5">
        <f t="shared" si="16"/>
        <v>117.66000000000001</v>
      </c>
      <c r="Z38" s="5">
        <f t="shared" si="17"/>
        <v>3294.4800000000005</v>
      </c>
      <c r="AA38" s="5">
        <f>AA32*0.6%</f>
        <v>2.5149999999999997</v>
      </c>
      <c r="AB38" s="47">
        <f t="shared" si="6"/>
        <v>2.8315882197260938E-4</v>
      </c>
      <c r="AC38" s="5">
        <f t="shared" si="18"/>
        <v>0</v>
      </c>
      <c r="AD38" s="5">
        <f t="shared" si="19"/>
        <v>0</v>
      </c>
      <c r="AE38" s="5">
        <f>AE32*0.6%</f>
        <v>1.1100000000000001</v>
      </c>
      <c r="AF38" s="47">
        <f t="shared" si="7"/>
        <v>2.6126038776639004E-4</v>
      </c>
      <c r="AG38" s="5">
        <f t="shared" si="20"/>
        <v>86.580000000000013</v>
      </c>
      <c r="AH38" s="5">
        <f t="shared" si="21"/>
        <v>2424.2400000000002</v>
      </c>
      <c r="AI38" s="5">
        <f t="shared" si="22"/>
        <v>530.11764000000005</v>
      </c>
      <c r="AJ38" s="5">
        <f t="shared" si="23"/>
        <v>14843.293920000002</v>
      </c>
      <c r="AK38" s="47">
        <f t="shared" si="8"/>
        <v>2.691512204663763E-4</v>
      </c>
    </row>
    <row r="39" spans="1:37" x14ac:dyDescent="0.3">
      <c r="A39" s="67"/>
      <c r="B39" s="79"/>
      <c r="C39" s="15" t="s">
        <v>63</v>
      </c>
      <c r="D39" s="16" t="s">
        <v>14</v>
      </c>
      <c r="E39" s="76" t="s">
        <v>133</v>
      </c>
      <c r="F39" s="77"/>
      <c r="G39" s="5">
        <f>G32*2.5%</f>
        <v>2.663979166666667</v>
      </c>
      <c r="H39" s="47">
        <f t="shared" si="0"/>
        <v>9.8026679036467088E-4</v>
      </c>
      <c r="I39" s="5">
        <f t="shared" si="9"/>
        <v>0</v>
      </c>
      <c r="J39" s="5">
        <f t="shared" si="10"/>
        <v>0</v>
      </c>
      <c r="K39" s="5">
        <f>K32*2.5%</f>
        <v>5.1437500000000007</v>
      </c>
      <c r="L39" s="47">
        <f t="shared" si="1"/>
        <v>1.1069680480752992E-3</v>
      </c>
      <c r="M39" s="5">
        <f t="shared" si="11"/>
        <v>1255.0750000000003</v>
      </c>
      <c r="N39" s="5">
        <f t="shared" si="12"/>
        <v>35142.100000000006</v>
      </c>
      <c r="O39" s="5">
        <f>O32*2.5%</f>
        <v>3.8055000000000008</v>
      </c>
      <c r="P39" s="47">
        <f t="shared" si="2"/>
        <v>1.0535502680345133E-3</v>
      </c>
      <c r="Q39" s="5">
        <f t="shared" si="13"/>
        <v>102.74850000000002</v>
      </c>
      <c r="R39" s="5">
        <f t="shared" si="3"/>
        <v>2876.9580000000005</v>
      </c>
      <c r="S39" s="5">
        <f>S32*2.5%</f>
        <v>4.3116666666666665</v>
      </c>
      <c r="T39" s="47">
        <f t="shared" si="4"/>
        <v>1.0617089359407669E-3</v>
      </c>
      <c r="U39" s="5">
        <f t="shared" si="14"/>
        <v>0</v>
      </c>
      <c r="V39" s="5">
        <f t="shared" si="15"/>
        <v>0</v>
      </c>
      <c r="W39" s="5">
        <f>W32*2.5%</f>
        <v>9.25</v>
      </c>
      <c r="X39" s="47">
        <f t="shared" si="5"/>
        <v>1.2049134447271682E-3</v>
      </c>
      <c r="Y39" s="5">
        <f t="shared" si="16"/>
        <v>490.25</v>
      </c>
      <c r="Z39" s="5">
        <f t="shared" si="17"/>
        <v>13727</v>
      </c>
      <c r="AA39" s="5">
        <f>AA32*2.5%</f>
        <v>10.479166666666666</v>
      </c>
      <c r="AB39" s="47">
        <f t="shared" si="6"/>
        <v>1.1798284248858725E-3</v>
      </c>
      <c r="AC39" s="5">
        <f t="shared" si="18"/>
        <v>0</v>
      </c>
      <c r="AD39" s="5">
        <f t="shared" si="19"/>
        <v>0</v>
      </c>
      <c r="AE39" s="5">
        <f>AE32*2.5%</f>
        <v>4.625</v>
      </c>
      <c r="AF39" s="47">
        <f t="shared" si="7"/>
        <v>1.0885849490266252E-3</v>
      </c>
      <c r="AG39" s="5">
        <f t="shared" si="20"/>
        <v>360.75</v>
      </c>
      <c r="AH39" s="5">
        <f t="shared" si="21"/>
        <v>10101</v>
      </c>
      <c r="AI39" s="5">
        <f t="shared" si="22"/>
        <v>2208.8235000000004</v>
      </c>
      <c r="AJ39" s="5">
        <f t="shared" si="23"/>
        <v>61847.058000000012</v>
      </c>
      <c r="AK39" s="47">
        <f t="shared" si="8"/>
        <v>1.1214634186099014E-3</v>
      </c>
    </row>
    <row r="40" spans="1:37" x14ac:dyDescent="0.3">
      <c r="A40" s="67"/>
      <c r="B40" s="79"/>
      <c r="C40" s="15" t="s">
        <v>67</v>
      </c>
      <c r="D40" s="16" t="s">
        <v>16</v>
      </c>
      <c r="E40" s="76" t="s">
        <v>192</v>
      </c>
      <c r="F40" s="77"/>
      <c r="G40" s="5">
        <f>G32*3%</f>
        <v>3.1967750000000001</v>
      </c>
      <c r="H40" s="47">
        <f t="shared" si="0"/>
        <v>1.1763201484376049E-3</v>
      </c>
      <c r="I40" s="5">
        <f t="shared" si="9"/>
        <v>0</v>
      </c>
      <c r="J40" s="5">
        <f t="shared" si="10"/>
        <v>0</v>
      </c>
      <c r="K40" s="5">
        <f>K32*3%</f>
        <v>6.1724999999999994</v>
      </c>
      <c r="L40" s="47">
        <f t="shared" si="1"/>
        <v>1.3283616576903587E-3</v>
      </c>
      <c r="M40" s="5">
        <f t="shared" si="11"/>
        <v>1506.09</v>
      </c>
      <c r="N40" s="5">
        <f t="shared" si="12"/>
        <v>42170.52</v>
      </c>
      <c r="O40" s="5">
        <f>O32*3%</f>
        <v>4.5666000000000002</v>
      </c>
      <c r="P40" s="47">
        <f t="shared" si="2"/>
        <v>1.2642603216414157E-3</v>
      </c>
      <c r="Q40" s="5">
        <f t="shared" si="13"/>
        <v>123.29820000000001</v>
      </c>
      <c r="R40" s="5">
        <f t="shared" si="3"/>
        <v>3452.3496000000005</v>
      </c>
      <c r="S40" s="5">
        <f>S32*3%</f>
        <v>5.1739999999999995</v>
      </c>
      <c r="T40" s="47">
        <f t="shared" si="4"/>
        <v>1.2740507231289201E-3</v>
      </c>
      <c r="U40" s="5">
        <f t="shared" si="14"/>
        <v>0</v>
      </c>
      <c r="V40" s="5">
        <f t="shared" si="15"/>
        <v>0</v>
      </c>
      <c r="W40" s="5">
        <f>W32*3%</f>
        <v>11.1</v>
      </c>
      <c r="X40" s="47">
        <f t="shared" si="5"/>
        <v>1.4458961336726018E-3</v>
      </c>
      <c r="Y40" s="5">
        <f t="shared" si="16"/>
        <v>588.29999999999995</v>
      </c>
      <c r="Z40" s="5">
        <f t="shared" si="17"/>
        <v>16472.399999999998</v>
      </c>
      <c r="AA40" s="5">
        <f>AA32*3%</f>
        <v>12.574999999999998</v>
      </c>
      <c r="AB40" s="47">
        <f t="shared" si="6"/>
        <v>1.415794109863047E-3</v>
      </c>
      <c r="AC40" s="5">
        <f t="shared" si="18"/>
        <v>0</v>
      </c>
      <c r="AD40" s="5">
        <f t="shared" si="19"/>
        <v>0</v>
      </c>
      <c r="AE40" s="5">
        <f>AE32*3%</f>
        <v>5.55</v>
      </c>
      <c r="AF40" s="47">
        <f t="shared" si="7"/>
        <v>1.3063019388319501E-3</v>
      </c>
      <c r="AG40" s="5">
        <f t="shared" si="20"/>
        <v>432.9</v>
      </c>
      <c r="AH40" s="5">
        <f t="shared" si="21"/>
        <v>12121.199999999999</v>
      </c>
      <c r="AI40" s="5">
        <f t="shared" si="22"/>
        <v>2650.5881999999997</v>
      </c>
      <c r="AJ40" s="5">
        <f t="shared" si="23"/>
        <v>74216.469599999997</v>
      </c>
      <c r="AK40" s="47">
        <f t="shared" si="8"/>
        <v>1.3457561023318813E-3</v>
      </c>
    </row>
    <row r="41" spans="1:37" x14ac:dyDescent="0.3">
      <c r="A41" s="67"/>
      <c r="B41" s="80"/>
      <c r="C41" s="11" t="s">
        <v>68</v>
      </c>
      <c r="D41" s="12" t="s">
        <v>7</v>
      </c>
      <c r="E41" s="72" t="s">
        <v>131</v>
      </c>
      <c r="F41" s="73"/>
      <c r="G41" s="13">
        <f>SUM(G32:G40)</f>
        <v>124.46110666666665</v>
      </c>
      <c r="H41" s="46">
        <f t="shared" si="0"/>
        <v>4.5798064445837415E-2</v>
      </c>
      <c r="I41" s="13">
        <f t="shared" si="9"/>
        <v>0</v>
      </c>
      <c r="J41" s="13">
        <f t="shared" si="10"/>
        <v>0</v>
      </c>
      <c r="K41" s="13">
        <f>SUM(K32:K40)</f>
        <v>240.31600000000003</v>
      </c>
      <c r="L41" s="46">
        <f t="shared" si="1"/>
        <v>5.1717547206077977E-2</v>
      </c>
      <c r="M41" s="13">
        <f t="shared" si="11"/>
        <v>58637.104000000007</v>
      </c>
      <c r="N41" s="13">
        <f t="shared" si="12"/>
        <v>1641838.9120000002</v>
      </c>
      <c r="O41" s="13">
        <f>SUM(O32:O40)</f>
        <v>177.79296000000002</v>
      </c>
      <c r="P41" s="46">
        <f t="shared" si="2"/>
        <v>4.9221868522572453E-2</v>
      </c>
      <c r="Q41" s="13">
        <f t="shared" si="13"/>
        <v>4800.409920000001</v>
      </c>
      <c r="R41" s="13">
        <f t="shared" si="3"/>
        <v>134411.47776000004</v>
      </c>
      <c r="S41" s="13">
        <f>SUM(S32:S40)</f>
        <v>201.44106666666667</v>
      </c>
      <c r="T41" s="46">
        <f t="shared" si="4"/>
        <v>4.9603041487152631E-2</v>
      </c>
      <c r="U41" s="13">
        <f t="shared" si="14"/>
        <v>0</v>
      </c>
      <c r="V41" s="13">
        <f t="shared" si="15"/>
        <v>0</v>
      </c>
      <c r="W41" s="13">
        <f>SUM(W32:W40)</f>
        <v>432.16000000000008</v>
      </c>
      <c r="X41" s="46">
        <f t="shared" si="5"/>
        <v>5.6293556137653307E-2</v>
      </c>
      <c r="Y41" s="13">
        <f t="shared" si="16"/>
        <v>22904.480000000003</v>
      </c>
      <c r="Z41" s="13">
        <f t="shared" si="17"/>
        <v>641325.44000000006</v>
      </c>
      <c r="AA41" s="13">
        <f>SUM(AA32:AA40)</f>
        <v>489.58666666666659</v>
      </c>
      <c r="AB41" s="46">
        <f t="shared" si="6"/>
        <v>5.5121584010667961E-2</v>
      </c>
      <c r="AC41" s="13">
        <f t="shared" si="18"/>
        <v>0</v>
      </c>
      <c r="AD41" s="13">
        <f t="shared" si="19"/>
        <v>0</v>
      </c>
      <c r="AE41" s="13">
        <f>SUM(AE32:AE40)</f>
        <v>216.08000000000004</v>
      </c>
      <c r="AF41" s="46">
        <f t="shared" si="7"/>
        <v>5.0858688818523935E-2</v>
      </c>
      <c r="AG41" s="13">
        <f t="shared" si="20"/>
        <v>16854.240000000002</v>
      </c>
      <c r="AH41" s="13">
        <f t="shared" si="21"/>
        <v>471918.72000000003</v>
      </c>
      <c r="AI41" s="13">
        <f t="shared" si="22"/>
        <v>103196.23392000001</v>
      </c>
      <c r="AJ41" s="13">
        <f t="shared" si="23"/>
        <v>2889494.5497600003</v>
      </c>
      <c r="AK41" s="46">
        <f t="shared" si="8"/>
        <v>5.2394770917454592E-2</v>
      </c>
    </row>
    <row r="42" spans="1:37" ht="15" customHeight="1" x14ac:dyDescent="0.3">
      <c r="A42" s="67"/>
      <c r="B42" s="78" t="s">
        <v>77</v>
      </c>
      <c r="C42" s="15" t="s">
        <v>69</v>
      </c>
      <c r="D42" s="16" t="s">
        <v>2</v>
      </c>
      <c r="E42" s="103" t="s">
        <v>172</v>
      </c>
      <c r="F42" s="104"/>
      <c r="G42" s="5">
        <f>I4/30*(26.6339*28/12)/28</f>
        <v>94.602872969444434</v>
      </c>
      <c r="H42" s="47">
        <f t="shared" si="0"/>
        <v>3.481110355719147E-2</v>
      </c>
      <c r="I42" s="5">
        <f t="shared" si="9"/>
        <v>0</v>
      </c>
      <c r="J42" s="5">
        <f t="shared" si="10"/>
        <v>0</v>
      </c>
      <c r="K42" s="5">
        <f>M4/30*(26.6339*28/12)/28</f>
        <v>182.66416416666667</v>
      </c>
      <c r="L42" s="47">
        <f t="shared" si="1"/>
        <v>3.9310501727510279E-2</v>
      </c>
      <c r="M42" s="5">
        <f t="shared" si="11"/>
        <v>44570.056056666668</v>
      </c>
      <c r="N42" s="5">
        <f t="shared" si="12"/>
        <v>1247961.5695866668</v>
      </c>
      <c r="O42" s="5">
        <f>Q4/30*(28.1028*28/12)/28</f>
        <v>142.59360720000001</v>
      </c>
      <c r="P42" s="47">
        <f t="shared" si="2"/>
        <v>3.9476949963360417E-2</v>
      </c>
      <c r="Q42" s="5">
        <f t="shared" si="13"/>
        <v>3850.0273944</v>
      </c>
      <c r="R42" s="5">
        <f t="shared" si="3"/>
        <v>107800.7670432</v>
      </c>
      <c r="S42" s="5">
        <f>U4/30*(28.1028*28/12)/28</f>
        <v>161.55987466666667</v>
      </c>
      <c r="T42" s="47">
        <f t="shared" si="4"/>
        <v>3.9782658513274914E-2</v>
      </c>
      <c r="U42" s="5">
        <f t="shared" si="14"/>
        <v>0</v>
      </c>
      <c r="V42" s="5">
        <f t="shared" si="15"/>
        <v>0</v>
      </c>
      <c r="W42" s="5">
        <f>Y4/30*(26.6339*28/12)/28</f>
        <v>328.48476666666664</v>
      </c>
      <c r="X42" s="47">
        <f t="shared" si="5"/>
        <v>4.2788725594025231E-2</v>
      </c>
      <c r="Y42" s="5">
        <f t="shared" si="16"/>
        <v>17409.692633333332</v>
      </c>
      <c r="Z42" s="5">
        <f t="shared" si="17"/>
        <v>487471.39373333333</v>
      </c>
      <c r="AA42" s="5">
        <f>AC4/30*(26.6339*28/12)/28</f>
        <v>372.13476944444443</v>
      </c>
      <c r="AB42" s="47">
        <f t="shared" si="6"/>
        <v>4.1897909714090457E-2</v>
      </c>
      <c r="AC42" s="5">
        <f t="shared" si="18"/>
        <v>0</v>
      </c>
      <c r="AD42" s="5">
        <f t="shared" si="19"/>
        <v>0</v>
      </c>
      <c r="AE42" s="5">
        <f>AG4/30*(26.6339*28/12)/28</f>
        <v>164.24238333333332</v>
      </c>
      <c r="AF42" s="47">
        <f t="shared" si="7"/>
        <v>3.8657683565173642E-2</v>
      </c>
      <c r="AG42" s="5">
        <f t="shared" si="20"/>
        <v>12810.9059</v>
      </c>
      <c r="AH42" s="5">
        <f t="shared" si="21"/>
        <v>358705.3652</v>
      </c>
      <c r="AI42" s="5">
        <f t="shared" si="22"/>
        <v>78640.681984399998</v>
      </c>
      <c r="AJ42" s="5">
        <f t="shared" si="23"/>
        <v>2201939.0955631998</v>
      </c>
      <c r="AK42" s="47">
        <f t="shared" si="8"/>
        <v>3.9927431078146031E-2</v>
      </c>
    </row>
    <row r="43" spans="1:37" ht="15" customHeight="1" x14ac:dyDescent="0.3">
      <c r="A43" s="67"/>
      <c r="B43" s="79"/>
      <c r="C43" s="15" t="s">
        <v>80</v>
      </c>
      <c r="D43" s="16" t="s">
        <v>52</v>
      </c>
      <c r="E43" s="103" t="s">
        <v>173</v>
      </c>
      <c r="F43" s="104"/>
      <c r="G43" s="5">
        <f>G21/30*(26.6339*28/12)/28</f>
        <v>35.614524497654763</v>
      </c>
      <c r="H43" s="47">
        <f t="shared" si="0"/>
        <v>1.3105108349388358E-2</v>
      </c>
      <c r="I43" s="5">
        <f t="shared" si="9"/>
        <v>0</v>
      </c>
      <c r="J43" s="5">
        <f t="shared" si="10"/>
        <v>0</v>
      </c>
      <c r="K43" s="5">
        <f>K21/30*(26.6339*28/12)/28</f>
        <v>30.708252559523807</v>
      </c>
      <c r="L43" s="47">
        <f t="shared" si="1"/>
        <v>6.6086132482370595E-3</v>
      </c>
      <c r="M43" s="5">
        <f t="shared" si="11"/>
        <v>7492.8136245238093</v>
      </c>
      <c r="N43" s="5">
        <f t="shared" si="12"/>
        <v>209798.78148666664</v>
      </c>
      <c r="O43" s="5">
        <f>O21/30*(28.1028*28/12)/28</f>
        <v>35.195638927428568</v>
      </c>
      <c r="P43" s="47">
        <f t="shared" si="2"/>
        <v>9.7438903759396421E-3</v>
      </c>
      <c r="Q43" s="5">
        <f t="shared" si="13"/>
        <v>950.2822510405714</v>
      </c>
      <c r="R43" s="5">
        <f t="shared" si="3"/>
        <v>26607.903029136</v>
      </c>
      <c r="S43" s="5">
        <f>S21/30*(28.1028*28/12)/28</f>
        <v>34.138946882857148</v>
      </c>
      <c r="T43" s="47">
        <f t="shared" si="4"/>
        <v>8.4064070280177716E-3</v>
      </c>
      <c r="U43" s="5">
        <f t="shared" si="14"/>
        <v>0</v>
      </c>
      <c r="V43" s="5">
        <f t="shared" si="15"/>
        <v>0</v>
      </c>
      <c r="W43" s="5">
        <f>W21/30*(26.6339*28/12)/28</f>
        <v>28.622564533333332</v>
      </c>
      <c r="X43" s="47">
        <f t="shared" si="5"/>
        <v>3.7284013868956038E-3</v>
      </c>
      <c r="Y43" s="5">
        <f t="shared" si="16"/>
        <v>1516.9959202666666</v>
      </c>
      <c r="Z43" s="5">
        <f t="shared" si="17"/>
        <v>42475.885767466665</v>
      </c>
      <c r="AA43" s="5">
        <f>AA21/30*(26.6339*28/12)/28</f>
        <v>28.622564533333332</v>
      </c>
      <c r="AB43" s="47">
        <f t="shared" si="6"/>
        <v>3.222557318128691E-3</v>
      </c>
      <c r="AC43" s="5">
        <f t="shared" si="18"/>
        <v>0</v>
      </c>
      <c r="AD43" s="5">
        <f t="shared" si="19"/>
        <v>0</v>
      </c>
      <c r="AE43" s="5">
        <f>AE21/30*(26.6339*28/12)/28</f>
        <v>31.734608920238095</v>
      </c>
      <c r="AF43" s="47">
        <f t="shared" si="7"/>
        <v>7.4693659748794102E-3</v>
      </c>
      <c r="AG43" s="5">
        <f t="shared" si="20"/>
        <v>2475.2994957785713</v>
      </c>
      <c r="AH43" s="5">
        <f t="shared" si="21"/>
        <v>69308.385881800001</v>
      </c>
      <c r="AI43" s="5">
        <f t="shared" si="22"/>
        <v>12435.39129160962</v>
      </c>
      <c r="AJ43" s="5">
        <f t="shared" si="23"/>
        <v>348190.95616506936</v>
      </c>
      <c r="AK43" s="47">
        <f t="shared" si="8"/>
        <v>6.3136943398330921E-3</v>
      </c>
    </row>
    <row r="44" spans="1:37" ht="15" customHeight="1" x14ac:dyDescent="0.3">
      <c r="A44" s="67"/>
      <c r="B44" s="79"/>
      <c r="C44" s="15" t="s">
        <v>81</v>
      </c>
      <c r="D44" s="16" t="s">
        <v>75</v>
      </c>
      <c r="E44" s="103" t="s">
        <v>104</v>
      </c>
      <c r="F44" s="104"/>
      <c r="G44" s="5">
        <f>(I4+I4/3)/12/28</f>
        <v>5.0742460317460312</v>
      </c>
      <c r="H44" s="47">
        <f t="shared" si="0"/>
        <v>1.8671748387898489E-3</v>
      </c>
      <c r="I44" s="5">
        <f t="shared" si="9"/>
        <v>0</v>
      </c>
      <c r="J44" s="5">
        <f t="shared" si="10"/>
        <v>0</v>
      </c>
      <c r="K44" s="5">
        <f>(M4+M4/3)/12/28</f>
        <v>9.7976190476190474</v>
      </c>
      <c r="L44" s="47">
        <f t="shared" si="1"/>
        <v>2.1085105677624743E-3</v>
      </c>
      <c r="M44" s="5">
        <f t="shared" si="11"/>
        <v>2390.6190476190477</v>
      </c>
      <c r="N44" s="5">
        <f t="shared" si="12"/>
        <v>66937.333333333343</v>
      </c>
      <c r="O44" s="5">
        <f>(Q4+Q4/3)/12/28</f>
        <v>7.2485714285714291</v>
      </c>
      <c r="P44" s="47">
        <f t="shared" si="2"/>
        <v>2.0067624153038343E-3</v>
      </c>
      <c r="Q44" s="5">
        <f t="shared" si="13"/>
        <v>195.7114285714286</v>
      </c>
      <c r="R44" s="5">
        <f t="shared" si="3"/>
        <v>5479.920000000001</v>
      </c>
      <c r="S44" s="5">
        <f>(U4+U4/3)/12/28</f>
        <v>8.2126984126984119</v>
      </c>
      <c r="T44" s="47">
        <f t="shared" si="4"/>
        <v>2.0223027351252702E-3</v>
      </c>
      <c r="U44" s="5">
        <f t="shared" si="14"/>
        <v>0</v>
      </c>
      <c r="V44" s="5">
        <f t="shared" si="15"/>
        <v>0</v>
      </c>
      <c r="W44" s="5">
        <f>(Y4+Y4/3)/12/28</f>
        <v>17.619047619047617</v>
      </c>
      <c r="X44" s="47">
        <f t="shared" si="5"/>
        <v>2.2950732280517484E-3</v>
      </c>
      <c r="Y44" s="5">
        <f t="shared" si="16"/>
        <v>933.80952380952374</v>
      </c>
      <c r="Z44" s="5">
        <f t="shared" si="17"/>
        <v>26146.666666666664</v>
      </c>
      <c r="AA44" s="5">
        <f>(AC4+AC4/3)/12/28</f>
        <v>19.960317460317462</v>
      </c>
      <c r="AB44" s="47">
        <f t="shared" si="6"/>
        <v>2.247292237877853E-3</v>
      </c>
      <c r="AC44" s="5">
        <f t="shared" si="18"/>
        <v>0</v>
      </c>
      <c r="AD44" s="5">
        <f t="shared" si="19"/>
        <v>0</v>
      </c>
      <c r="AE44" s="5">
        <f>(AG4+AG4/3)/12/28</f>
        <v>8.8095238095238084</v>
      </c>
      <c r="AF44" s="47">
        <f t="shared" si="7"/>
        <v>2.0734951410030953E-3</v>
      </c>
      <c r="AG44" s="5">
        <f t="shared" si="20"/>
        <v>687.14285714285711</v>
      </c>
      <c r="AH44" s="5">
        <f t="shared" si="21"/>
        <v>19240</v>
      </c>
      <c r="AI44" s="5">
        <f t="shared" si="22"/>
        <v>4207.2828571428572</v>
      </c>
      <c r="AJ44" s="5">
        <f t="shared" si="23"/>
        <v>117803.92</v>
      </c>
      <c r="AK44" s="47">
        <f t="shared" si="8"/>
        <v>2.1361207973521926E-3</v>
      </c>
    </row>
    <row r="45" spans="1:37" ht="15" customHeight="1" x14ac:dyDescent="0.3">
      <c r="A45" s="67"/>
      <c r="B45" s="79"/>
      <c r="C45" s="15" t="s">
        <v>86</v>
      </c>
      <c r="D45" s="16" t="s">
        <v>43</v>
      </c>
      <c r="E45" s="103" t="s">
        <v>82</v>
      </c>
      <c r="F45" s="104"/>
      <c r="G45" s="5">
        <f>I4/12/28</f>
        <v>3.805684523809524</v>
      </c>
      <c r="H45" s="47">
        <f t="shared" si="0"/>
        <v>1.400381129092387E-3</v>
      </c>
      <c r="I45" s="5">
        <f t="shared" si="9"/>
        <v>0</v>
      </c>
      <c r="J45" s="5">
        <f t="shared" si="10"/>
        <v>0</v>
      </c>
      <c r="K45" s="5">
        <f>M4/12/28</f>
        <v>7.3482142857142856</v>
      </c>
      <c r="L45" s="47">
        <f t="shared" si="1"/>
        <v>1.5813829258218557E-3</v>
      </c>
      <c r="M45" s="5">
        <f t="shared" si="11"/>
        <v>1792.9642857142858</v>
      </c>
      <c r="N45" s="5">
        <f t="shared" si="12"/>
        <v>50203</v>
      </c>
      <c r="O45" s="5">
        <f>Q4/12/28</f>
        <v>5.4364285714285714</v>
      </c>
      <c r="P45" s="47">
        <f t="shared" si="2"/>
        <v>1.5050718114778758E-3</v>
      </c>
      <c r="Q45" s="5">
        <f t="shared" si="13"/>
        <v>146.78357142857143</v>
      </c>
      <c r="R45" s="5">
        <f t="shared" si="3"/>
        <v>4109.9400000000005</v>
      </c>
      <c r="S45" s="5">
        <f>U4/12/28</f>
        <v>6.1595238095238098</v>
      </c>
      <c r="T45" s="47">
        <f t="shared" si="4"/>
        <v>1.5167270513439528E-3</v>
      </c>
      <c r="U45" s="5">
        <f t="shared" si="14"/>
        <v>0</v>
      </c>
      <c r="V45" s="5">
        <f t="shared" si="15"/>
        <v>0</v>
      </c>
      <c r="W45" s="5">
        <f>Y4/12/28</f>
        <v>13.214285714285714</v>
      </c>
      <c r="X45" s="47">
        <f t="shared" si="5"/>
        <v>1.7213049210388115E-3</v>
      </c>
      <c r="Y45" s="5">
        <f t="shared" si="16"/>
        <v>700.35714285714278</v>
      </c>
      <c r="Z45" s="5">
        <f t="shared" si="17"/>
        <v>19609.999999999996</v>
      </c>
      <c r="AA45" s="5">
        <f>AC4/12/28</f>
        <v>14.970238095238097</v>
      </c>
      <c r="AB45" s="47">
        <f t="shared" si="6"/>
        <v>1.6854691784083896E-3</v>
      </c>
      <c r="AC45" s="5">
        <f t="shared" si="18"/>
        <v>0</v>
      </c>
      <c r="AD45" s="5">
        <f t="shared" si="19"/>
        <v>0</v>
      </c>
      <c r="AE45" s="5">
        <f>AG4/12/28</f>
        <v>6.6071428571428568</v>
      </c>
      <c r="AF45" s="47">
        <f t="shared" si="7"/>
        <v>1.5551213557523215E-3</v>
      </c>
      <c r="AG45" s="5">
        <f t="shared" si="20"/>
        <v>515.35714285714278</v>
      </c>
      <c r="AH45" s="5">
        <f t="shared" si="21"/>
        <v>14429.999999999998</v>
      </c>
      <c r="AI45" s="5">
        <f t="shared" si="22"/>
        <v>3155.4621428571427</v>
      </c>
      <c r="AJ45" s="5">
        <f t="shared" si="23"/>
        <v>88352.94</v>
      </c>
      <c r="AK45" s="47">
        <f t="shared" si="8"/>
        <v>1.6020905980141445E-3</v>
      </c>
    </row>
    <row r="46" spans="1:37" x14ac:dyDescent="0.3">
      <c r="A46" s="67"/>
      <c r="B46" s="79"/>
      <c r="C46" s="15" t="s">
        <v>87</v>
      </c>
      <c r="D46" s="16" t="s">
        <v>9</v>
      </c>
      <c r="E46" s="74" t="s">
        <v>139</v>
      </c>
      <c r="F46" s="75"/>
      <c r="G46" s="5">
        <f>(G42+G44+G45)*8%</f>
        <v>8.2786242819999991</v>
      </c>
      <c r="H46" s="47">
        <f t="shared" si="0"/>
        <v>3.0462927620058962E-3</v>
      </c>
      <c r="I46" s="5">
        <f t="shared" si="9"/>
        <v>0</v>
      </c>
      <c r="J46" s="5">
        <f t="shared" si="10"/>
        <v>0</v>
      </c>
      <c r="K46" s="5">
        <f>(K42+K44+K45)*8%</f>
        <v>15.984799799999999</v>
      </c>
      <c r="L46" s="47">
        <f t="shared" si="1"/>
        <v>3.4400316176875683E-3</v>
      </c>
      <c r="M46" s="5">
        <f t="shared" si="11"/>
        <v>3900.2911512000001</v>
      </c>
      <c r="N46" s="5">
        <f t="shared" si="12"/>
        <v>109208.15223360001</v>
      </c>
      <c r="O46" s="5">
        <f>(O42+O44+O45)*8%</f>
        <v>12.422288576000001</v>
      </c>
      <c r="P46" s="47">
        <f t="shared" si="2"/>
        <v>3.4391027352113704E-3</v>
      </c>
      <c r="Q46" s="5">
        <f t="shared" si="13"/>
        <v>335.40179155200002</v>
      </c>
      <c r="R46" s="5">
        <f t="shared" si="3"/>
        <v>9391.2501634560012</v>
      </c>
      <c r="S46" s="5">
        <f>(S42+S44+S45)*8%</f>
        <v>14.074567751111113</v>
      </c>
      <c r="T46" s="47">
        <f t="shared" si="4"/>
        <v>3.4657350639795315E-3</v>
      </c>
      <c r="U46" s="5">
        <f t="shared" si="14"/>
        <v>0</v>
      </c>
      <c r="V46" s="5">
        <f t="shared" si="15"/>
        <v>0</v>
      </c>
      <c r="W46" s="5">
        <f>(W42+W44+W45)*8%</f>
        <v>28.745447999999996</v>
      </c>
      <c r="X46" s="47">
        <f t="shared" si="5"/>
        <v>3.744408299449263E-3</v>
      </c>
      <c r="Y46" s="5">
        <f t="shared" si="16"/>
        <v>1523.5087439999998</v>
      </c>
      <c r="Z46" s="5">
        <f t="shared" si="17"/>
        <v>42658.244831999997</v>
      </c>
      <c r="AA46" s="5">
        <f>(AA42+AA44+AA45)*8%</f>
        <v>32.565225999999996</v>
      </c>
      <c r="AB46" s="47">
        <f t="shared" si="6"/>
        <v>3.6664536904301354E-3</v>
      </c>
      <c r="AC46" s="5">
        <f t="shared" si="18"/>
        <v>0</v>
      </c>
      <c r="AD46" s="5">
        <f t="shared" si="19"/>
        <v>0</v>
      </c>
      <c r="AE46" s="5">
        <f>(AE42+AE44+AE45)*8%</f>
        <v>14.372723999999998</v>
      </c>
      <c r="AF46" s="47">
        <f t="shared" si="7"/>
        <v>3.3829040049543242E-3</v>
      </c>
      <c r="AG46" s="5">
        <f t="shared" si="20"/>
        <v>1121.0724719999998</v>
      </c>
      <c r="AH46" s="5">
        <f t="shared" si="21"/>
        <v>31390.029215999995</v>
      </c>
      <c r="AI46" s="5">
        <f t="shared" si="22"/>
        <v>6880.2741587519995</v>
      </c>
      <c r="AJ46" s="5">
        <f t="shared" si="23"/>
        <v>192647.67644505599</v>
      </c>
      <c r="AK46" s="47">
        <f t="shared" si="8"/>
        <v>3.4932513978809892E-3</v>
      </c>
    </row>
    <row r="47" spans="1:37" x14ac:dyDescent="0.3">
      <c r="A47" s="67"/>
      <c r="B47" s="79"/>
      <c r="C47" s="15" t="s">
        <v>89</v>
      </c>
      <c r="D47" s="16" t="s">
        <v>12</v>
      </c>
      <c r="E47" s="74"/>
      <c r="F47" s="75"/>
      <c r="G47" s="5"/>
      <c r="H47" s="47"/>
      <c r="I47" s="5"/>
      <c r="J47" s="5"/>
      <c r="K47" s="5"/>
      <c r="L47" s="47"/>
      <c r="M47" s="5"/>
      <c r="N47" s="5"/>
      <c r="O47" s="5"/>
      <c r="P47" s="47"/>
      <c r="Q47" s="5"/>
      <c r="R47" s="5"/>
      <c r="S47" s="5"/>
      <c r="T47" s="47"/>
      <c r="U47" s="5"/>
      <c r="V47" s="5"/>
      <c r="W47" s="5"/>
      <c r="X47" s="47"/>
      <c r="Y47" s="5"/>
      <c r="Z47" s="5"/>
      <c r="AA47" s="5"/>
      <c r="AB47" s="47"/>
      <c r="AC47" s="5"/>
      <c r="AD47" s="5"/>
      <c r="AE47" s="5"/>
      <c r="AF47" s="47"/>
      <c r="AG47" s="5"/>
      <c r="AH47" s="5"/>
      <c r="AI47" s="5"/>
      <c r="AJ47" s="5"/>
      <c r="AK47" s="47"/>
    </row>
    <row r="48" spans="1:37" x14ac:dyDescent="0.3">
      <c r="A48" s="67"/>
      <c r="B48" s="79"/>
      <c r="C48" s="15" t="s">
        <v>90</v>
      </c>
      <c r="D48" s="9" t="s">
        <v>100</v>
      </c>
      <c r="E48" s="74" t="s">
        <v>140</v>
      </c>
      <c r="F48" s="75"/>
      <c r="G48" s="5">
        <f>(G42+G44+G45)*0.2%</f>
        <v>0.20696560704999997</v>
      </c>
      <c r="H48" s="47">
        <f t="shared" ref="H48:H58" si="26">G48/$G$81</f>
        <v>7.6157319050147409E-5</v>
      </c>
      <c r="I48" s="5">
        <f t="shared" si="9"/>
        <v>0</v>
      </c>
      <c r="J48" s="5">
        <f t="shared" si="10"/>
        <v>0</v>
      </c>
      <c r="K48" s="5">
        <f>(K42+K44+K45)*0.2%</f>
        <v>0.39961999499999995</v>
      </c>
      <c r="L48" s="47">
        <f t="shared" ref="L48:L58" si="27">K48/$K$81</f>
        <v>8.6000790442189204E-5</v>
      </c>
      <c r="M48" s="5">
        <f t="shared" si="11"/>
        <v>97.507278779999993</v>
      </c>
      <c r="N48" s="5">
        <f t="shared" si="12"/>
        <v>2730.2038058399999</v>
      </c>
      <c r="O48" s="5">
        <f>(O42+O44+O45)*0.2%</f>
        <v>0.3105572144</v>
      </c>
      <c r="P48" s="47">
        <f t="shared" ref="P48:P58" si="28">O48/$O$81</f>
        <v>8.5977568380284252E-5</v>
      </c>
      <c r="Q48" s="5">
        <f t="shared" si="13"/>
        <v>8.3850447888000001</v>
      </c>
      <c r="R48" s="5">
        <f t="shared" si="3"/>
        <v>234.7812540864</v>
      </c>
      <c r="S48" s="5">
        <f>(S42+S44+S45)*0.2%</f>
        <v>0.35186419377777783</v>
      </c>
      <c r="T48" s="47">
        <f t="shared" ref="T48:T58" si="29">S48/$S$81</f>
        <v>8.6643376599488279E-5</v>
      </c>
      <c r="U48" s="5">
        <f t="shared" si="14"/>
        <v>0</v>
      </c>
      <c r="V48" s="5">
        <f t="shared" si="15"/>
        <v>0</v>
      </c>
      <c r="W48" s="5">
        <f>(W42+W44+W45)*0.2%</f>
        <v>0.71863619999999995</v>
      </c>
      <c r="X48" s="47">
        <f t="shared" ref="X48:X58" si="30">W48/$W$81</f>
        <v>9.3610207486231585E-5</v>
      </c>
      <c r="Y48" s="5">
        <f t="shared" si="16"/>
        <v>38.087718599999995</v>
      </c>
      <c r="Z48" s="5">
        <f t="shared" si="17"/>
        <v>1066.4561207999998</v>
      </c>
      <c r="AA48" s="5">
        <f>(AA42+AA44+AA45)*0.2%</f>
        <v>0.81413064999999996</v>
      </c>
      <c r="AB48" s="47">
        <f t="shared" ref="AB48:AB58" si="31">AA48/$AA$81</f>
        <v>9.1661342260753392E-5</v>
      </c>
      <c r="AC48" s="5">
        <f t="shared" si="18"/>
        <v>0</v>
      </c>
      <c r="AD48" s="5">
        <f t="shared" si="19"/>
        <v>0</v>
      </c>
      <c r="AE48" s="5">
        <f>(AE42+AE44+AE45)*0.2%</f>
        <v>0.35931809999999997</v>
      </c>
      <c r="AF48" s="47">
        <f t="shared" ref="AF48:AF58" si="32">AE48/$AE$81</f>
        <v>8.4572600123858108E-5</v>
      </c>
      <c r="AG48" s="5">
        <f t="shared" si="20"/>
        <v>28.026811799999997</v>
      </c>
      <c r="AH48" s="5">
        <f t="shared" si="21"/>
        <v>784.75073039999995</v>
      </c>
      <c r="AI48" s="5">
        <f t="shared" si="22"/>
        <v>172.00685396879999</v>
      </c>
      <c r="AJ48" s="5">
        <f t="shared" si="23"/>
        <v>4816.1919111263996</v>
      </c>
      <c r="AK48" s="47">
        <f t="shared" ref="AK48:AK58" si="33">AJ48/$AJ$81</f>
        <v>8.7331284947024738E-5</v>
      </c>
    </row>
    <row r="49" spans="1:38" x14ac:dyDescent="0.3">
      <c r="A49" s="67"/>
      <c r="B49" s="79"/>
      <c r="C49" s="15" t="s">
        <v>91</v>
      </c>
      <c r="D49" s="9" t="s">
        <v>114</v>
      </c>
      <c r="E49" s="74" t="s">
        <v>141</v>
      </c>
      <c r="F49" s="75"/>
      <c r="G49" s="5">
        <f>(G42+G44+G45)*1%</f>
        <v>1.0348280352499999</v>
      </c>
      <c r="H49" s="47">
        <f t="shared" si="26"/>
        <v>3.8078659525073703E-4</v>
      </c>
      <c r="I49" s="5">
        <f t="shared" si="9"/>
        <v>0</v>
      </c>
      <c r="J49" s="5">
        <f t="shared" si="10"/>
        <v>0</v>
      </c>
      <c r="K49" s="5">
        <f>(K42+K44+K45)*1%</f>
        <v>1.9980999749999999</v>
      </c>
      <c r="L49" s="47">
        <f t="shared" si="27"/>
        <v>4.3000395221094603E-4</v>
      </c>
      <c r="M49" s="5">
        <f t="shared" si="11"/>
        <v>487.53639390000001</v>
      </c>
      <c r="N49" s="5">
        <f t="shared" si="12"/>
        <v>13651.019029200001</v>
      </c>
      <c r="O49" s="5">
        <f>(O42+O44+O45)*1%</f>
        <v>1.5527860720000002</v>
      </c>
      <c r="P49" s="47">
        <f t="shared" si="28"/>
        <v>4.298878419014213E-4</v>
      </c>
      <c r="Q49" s="5">
        <f t="shared" si="13"/>
        <v>41.925223944000003</v>
      </c>
      <c r="R49" s="5">
        <f t="shared" si="3"/>
        <v>1173.9062704320002</v>
      </c>
      <c r="S49" s="5">
        <f>(S42+S44+S45)*1%</f>
        <v>1.7593209688888891</v>
      </c>
      <c r="T49" s="47">
        <f t="shared" si="29"/>
        <v>4.3321688299744143E-4</v>
      </c>
      <c r="U49" s="5">
        <f t="shared" si="14"/>
        <v>0</v>
      </c>
      <c r="V49" s="5">
        <f t="shared" si="15"/>
        <v>0</v>
      </c>
      <c r="W49" s="5">
        <f>(W42+W44+W45)*1%</f>
        <v>3.5931809999999995</v>
      </c>
      <c r="X49" s="47">
        <f t="shared" si="30"/>
        <v>4.6805103743115787E-4</v>
      </c>
      <c r="Y49" s="5">
        <f t="shared" si="16"/>
        <v>190.43859299999997</v>
      </c>
      <c r="Z49" s="5">
        <f t="shared" si="17"/>
        <v>5332.2806039999996</v>
      </c>
      <c r="AA49" s="5">
        <f>(AA42+AA44+AA45)*1%</f>
        <v>4.0706532499999994</v>
      </c>
      <c r="AB49" s="47">
        <f t="shared" si="31"/>
        <v>4.5830671130376693E-4</v>
      </c>
      <c r="AC49" s="5">
        <f t="shared" si="18"/>
        <v>0</v>
      </c>
      <c r="AD49" s="5">
        <f t="shared" si="19"/>
        <v>0</v>
      </c>
      <c r="AE49" s="5">
        <f>(AE42+AE44+AE45)*1%</f>
        <v>1.7965904999999998</v>
      </c>
      <c r="AF49" s="47">
        <f t="shared" si="32"/>
        <v>4.2286300061929053E-4</v>
      </c>
      <c r="AG49" s="5">
        <f t="shared" si="20"/>
        <v>140.13405899999998</v>
      </c>
      <c r="AH49" s="5">
        <f t="shared" si="21"/>
        <v>3923.7536519999994</v>
      </c>
      <c r="AI49" s="5">
        <f t="shared" si="22"/>
        <v>860.03426984399994</v>
      </c>
      <c r="AJ49" s="5">
        <f t="shared" si="23"/>
        <v>24080.959555631998</v>
      </c>
      <c r="AK49" s="47">
        <f t="shared" si="33"/>
        <v>4.3665642473512365E-4</v>
      </c>
    </row>
    <row r="50" spans="1:38" x14ac:dyDescent="0.3">
      <c r="A50" s="67"/>
      <c r="B50" s="79"/>
      <c r="C50" s="15" t="s">
        <v>92</v>
      </c>
      <c r="D50" s="9" t="s">
        <v>115</v>
      </c>
      <c r="E50" s="74" t="s">
        <v>142</v>
      </c>
      <c r="F50" s="75"/>
      <c r="G50" s="5">
        <f>(G42+G44+G45)*1.5%</f>
        <v>1.5522420528749996</v>
      </c>
      <c r="H50" s="47">
        <f t="shared" si="26"/>
        <v>5.7117989287610552E-4</v>
      </c>
      <c r="I50" s="5">
        <f t="shared" si="9"/>
        <v>0</v>
      </c>
      <c r="J50" s="5">
        <f t="shared" si="10"/>
        <v>0</v>
      </c>
      <c r="K50" s="5">
        <f>(K42+K44+K45)*1.5%</f>
        <v>2.9971499624999995</v>
      </c>
      <c r="L50" s="47">
        <f t="shared" si="27"/>
        <v>6.45005928316419E-4</v>
      </c>
      <c r="M50" s="5">
        <f t="shared" si="11"/>
        <v>731.30459084999984</v>
      </c>
      <c r="N50" s="5">
        <f t="shared" si="12"/>
        <v>20476.528543799996</v>
      </c>
      <c r="O50" s="5">
        <f>(O42+O44+O45)*1.5%</f>
        <v>2.3291791079999999</v>
      </c>
      <c r="P50" s="47">
        <f t="shared" si="28"/>
        <v>6.4483176285213184E-4</v>
      </c>
      <c r="Q50" s="5">
        <f t="shared" si="13"/>
        <v>62.887835916</v>
      </c>
      <c r="R50" s="5">
        <f t="shared" si="3"/>
        <v>1760.8594056480001</v>
      </c>
      <c r="S50" s="5">
        <f>(S42+S44+S45)*1.5%</f>
        <v>2.6389814533333333</v>
      </c>
      <c r="T50" s="47">
        <f t="shared" si="29"/>
        <v>6.4982532449616207E-4</v>
      </c>
      <c r="U50" s="5">
        <f t="shared" si="14"/>
        <v>0</v>
      </c>
      <c r="V50" s="5">
        <f t="shared" si="15"/>
        <v>0</v>
      </c>
      <c r="W50" s="5">
        <f>(W42+W44+W45)*1.5%</f>
        <v>5.3897714999999993</v>
      </c>
      <c r="X50" s="47">
        <f t="shared" si="30"/>
        <v>7.0207655614673678E-4</v>
      </c>
      <c r="Y50" s="5">
        <f t="shared" si="16"/>
        <v>285.65788949999995</v>
      </c>
      <c r="Z50" s="5">
        <f t="shared" si="17"/>
        <v>7998.4209059999985</v>
      </c>
      <c r="AA50" s="5">
        <f>(AA42+AA44+AA45)*1.5%</f>
        <v>6.1059798749999992</v>
      </c>
      <c r="AB50" s="47">
        <f t="shared" si="31"/>
        <v>6.8746006695565042E-4</v>
      </c>
      <c r="AC50" s="5">
        <f t="shared" si="18"/>
        <v>0</v>
      </c>
      <c r="AD50" s="5">
        <f t="shared" si="19"/>
        <v>0</v>
      </c>
      <c r="AE50" s="5">
        <f>(AE42+AE44+AE45)*1.5%</f>
        <v>2.6948857499999996</v>
      </c>
      <c r="AF50" s="47">
        <f t="shared" si="32"/>
        <v>6.3429450092893579E-4</v>
      </c>
      <c r="AG50" s="5">
        <f t="shared" si="20"/>
        <v>210.20108849999997</v>
      </c>
      <c r="AH50" s="5">
        <f t="shared" si="21"/>
        <v>5885.6304779999991</v>
      </c>
      <c r="AI50" s="5">
        <f t="shared" si="22"/>
        <v>1290.0514047659997</v>
      </c>
      <c r="AJ50" s="5">
        <f t="shared" si="23"/>
        <v>36121.43933344799</v>
      </c>
      <c r="AK50" s="47">
        <f t="shared" si="33"/>
        <v>6.5498463710268533E-4</v>
      </c>
    </row>
    <row r="51" spans="1:38" x14ac:dyDescent="0.3">
      <c r="A51" s="67"/>
      <c r="B51" s="79"/>
      <c r="C51" s="15" t="s">
        <v>93</v>
      </c>
      <c r="D51" s="9" t="s">
        <v>116</v>
      </c>
      <c r="E51" s="74" t="s">
        <v>143</v>
      </c>
      <c r="F51" s="75"/>
      <c r="G51" s="5">
        <f>(G42+G44+G45)*0.6%</f>
        <v>0.62089682114999989</v>
      </c>
      <c r="H51" s="47">
        <f t="shared" si="26"/>
        <v>2.2847195715044221E-4</v>
      </c>
      <c r="I51" s="5">
        <f t="shared" si="9"/>
        <v>0</v>
      </c>
      <c r="J51" s="5">
        <f t="shared" si="10"/>
        <v>0</v>
      </c>
      <c r="K51" s="5">
        <f>(K42+K44+K45)*0.6%</f>
        <v>1.1988599849999999</v>
      </c>
      <c r="L51" s="47">
        <f t="shared" si="27"/>
        <v>2.580023713265676E-4</v>
      </c>
      <c r="M51" s="5">
        <f t="shared" si="11"/>
        <v>292.52183633999999</v>
      </c>
      <c r="N51" s="5">
        <f t="shared" si="12"/>
        <v>8190.61141752</v>
      </c>
      <c r="O51" s="5">
        <f>(O42+O44+O45)*0.6%</f>
        <v>0.93167164320000007</v>
      </c>
      <c r="P51" s="47">
        <f t="shared" si="28"/>
        <v>2.5793270514085277E-4</v>
      </c>
      <c r="Q51" s="5">
        <f t="shared" si="13"/>
        <v>25.155134366400002</v>
      </c>
      <c r="R51" s="5">
        <f t="shared" si="3"/>
        <v>704.34376225920005</v>
      </c>
      <c r="S51" s="5">
        <f>(S42+S44+S45)*0.6%</f>
        <v>1.0555925813333336</v>
      </c>
      <c r="T51" s="47">
        <f t="shared" si="29"/>
        <v>2.5993012979846485E-4</v>
      </c>
      <c r="U51" s="5">
        <f t="shared" si="14"/>
        <v>0</v>
      </c>
      <c r="V51" s="5">
        <f t="shared" si="15"/>
        <v>0</v>
      </c>
      <c r="W51" s="5">
        <f>(W42+W44+W45)*0.6%</f>
        <v>2.1559085999999996</v>
      </c>
      <c r="X51" s="47">
        <f t="shared" si="30"/>
        <v>2.808306224586947E-4</v>
      </c>
      <c r="Y51" s="5">
        <f t="shared" si="16"/>
        <v>114.26315579999998</v>
      </c>
      <c r="Z51" s="5">
        <f t="shared" si="17"/>
        <v>3199.3683623999996</v>
      </c>
      <c r="AA51" s="5">
        <f>(AA42+AA44+AA45)*0.6%</f>
        <v>2.4423919499999998</v>
      </c>
      <c r="AB51" s="47">
        <f t="shared" si="31"/>
        <v>2.749840267822602E-4</v>
      </c>
      <c r="AC51" s="5">
        <f t="shared" si="18"/>
        <v>0</v>
      </c>
      <c r="AD51" s="5">
        <f t="shared" si="19"/>
        <v>0</v>
      </c>
      <c r="AE51" s="5">
        <f>(AE42+AE44+AE45)*0.6%</f>
        <v>1.0779542999999998</v>
      </c>
      <c r="AF51" s="47">
        <f t="shared" si="32"/>
        <v>2.5371780037157434E-4</v>
      </c>
      <c r="AG51" s="5">
        <f t="shared" si="20"/>
        <v>84.080435399999985</v>
      </c>
      <c r="AH51" s="5">
        <f t="shared" si="21"/>
        <v>2354.2521911999997</v>
      </c>
      <c r="AI51" s="5">
        <f t="shared" si="22"/>
        <v>516.02056190639996</v>
      </c>
      <c r="AJ51" s="5">
        <f t="shared" si="23"/>
        <v>14448.575733379199</v>
      </c>
      <c r="AK51" s="47">
        <f t="shared" si="33"/>
        <v>2.619938548410742E-4</v>
      </c>
    </row>
    <row r="52" spans="1:38" x14ac:dyDescent="0.3">
      <c r="A52" s="67"/>
      <c r="B52" s="79"/>
      <c r="C52" s="15" t="s">
        <v>94</v>
      </c>
      <c r="D52" s="16" t="s">
        <v>14</v>
      </c>
      <c r="E52" s="74" t="s">
        <v>201</v>
      </c>
      <c r="F52" s="75"/>
      <c r="G52" s="5">
        <f>(G42+G44+G45)*2.5%</f>
        <v>2.5870700881249995</v>
      </c>
      <c r="H52" s="47">
        <f t="shared" si="26"/>
        <v>9.5196648812684249E-4</v>
      </c>
      <c r="I52" s="5">
        <f t="shared" si="9"/>
        <v>0</v>
      </c>
      <c r="J52" s="5">
        <f t="shared" si="10"/>
        <v>0</v>
      </c>
      <c r="K52" s="5">
        <f>(K42+K44+K45)*2.5%</f>
        <v>4.9952499374999997</v>
      </c>
      <c r="L52" s="47">
        <f t="shared" si="27"/>
        <v>1.075009880527365E-3</v>
      </c>
      <c r="M52" s="5">
        <f t="shared" si="11"/>
        <v>1218.84098475</v>
      </c>
      <c r="N52" s="5">
        <f t="shared" si="12"/>
        <v>34127.547572999996</v>
      </c>
      <c r="O52" s="5">
        <f>(O42+O44+O45)*2.5%</f>
        <v>3.8819651800000003</v>
      </c>
      <c r="P52" s="47">
        <f t="shared" si="28"/>
        <v>1.0747196047535532E-3</v>
      </c>
      <c r="Q52" s="5">
        <f t="shared" si="13"/>
        <v>104.81305986000001</v>
      </c>
      <c r="R52" s="5">
        <f t="shared" si="3"/>
        <v>2934.76567608</v>
      </c>
      <c r="S52" s="5">
        <f>(S42+S44+S45)*2.5%</f>
        <v>4.3983024222222227</v>
      </c>
      <c r="T52" s="47">
        <f t="shared" si="29"/>
        <v>1.0830422074936035E-3</v>
      </c>
      <c r="U52" s="5">
        <f t="shared" si="14"/>
        <v>0</v>
      </c>
      <c r="V52" s="5">
        <f t="shared" si="15"/>
        <v>0</v>
      </c>
      <c r="W52" s="5">
        <f>(W42+W44+W45)*2.5%</f>
        <v>8.9829524999999997</v>
      </c>
      <c r="X52" s="47">
        <f t="shared" si="30"/>
        <v>1.1701275935778947E-3</v>
      </c>
      <c r="Y52" s="5">
        <f t="shared" si="16"/>
        <v>476.09648249999998</v>
      </c>
      <c r="Z52" s="5">
        <f t="shared" si="17"/>
        <v>13330.701509999999</v>
      </c>
      <c r="AA52" s="5">
        <f>(AA42+AA44+AA45)*2.5%</f>
        <v>10.176633125</v>
      </c>
      <c r="AB52" s="47">
        <f t="shared" si="31"/>
        <v>1.1457667782594175E-3</v>
      </c>
      <c r="AC52" s="5">
        <f t="shared" si="18"/>
        <v>0</v>
      </c>
      <c r="AD52" s="5">
        <f t="shared" si="19"/>
        <v>0</v>
      </c>
      <c r="AE52" s="5">
        <f>(AE42+AE44+AE45)*2.5%</f>
        <v>4.4914762499999998</v>
      </c>
      <c r="AF52" s="47">
        <f t="shared" si="32"/>
        <v>1.0571575015482265E-3</v>
      </c>
      <c r="AG52" s="5">
        <f t="shared" si="20"/>
        <v>350.33514750000001</v>
      </c>
      <c r="AH52" s="5">
        <f t="shared" si="21"/>
        <v>9809.3841300000004</v>
      </c>
      <c r="AI52" s="5">
        <f t="shared" si="22"/>
        <v>2150.0856746099998</v>
      </c>
      <c r="AJ52" s="5">
        <f t="shared" si="23"/>
        <v>60202.398889079996</v>
      </c>
      <c r="AK52" s="47">
        <f t="shared" si="33"/>
        <v>1.0916410618378091E-3</v>
      </c>
    </row>
    <row r="53" spans="1:38" x14ac:dyDescent="0.3">
      <c r="A53" s="67"/>
      <c r="B53" s="79"/>
      <c r="C53" s="15" t="s">
        <v>95</v>
      </c>
      <c r="D53" s="16" t="s">
        <v>16</v>
      </c>
      <c r="E53" s="74" t="s">
        <v>202</v>
      </c>
      <c r="F53" s="75"/>
      <c r="G53" s="5">
        <f>(G42+G44+G45)*3%</f>
        <v>3.1044841057499992</v>
      </c>
      <c r="H53" s="47">
        <f t="shared" si="26"/>
        <v>1.142359785752211E-3</v>
      </c>
      <c r="I53" s="5">
        <f t="shared" si="9"/>
        <v>0</v>
      </c>
      <c r="J53" s="5">
        <f t="shared" si="10"/>
        <v>0</v>
      </c>
      <c r="K53" s="5">
        <f>(K42+K44+K45)*3%</f>
        <v>5.9942999249999991</v>
      </c>
      <c r="L53" s="47">
        <f t="shared" si="27"/>
        <v>1.290011856632838E-3</v>
      </c>
      <c r="M53" s="5">
        <f t="shared" si="11"/>
        <v>1462.6091816999997</v>
      </c>
      <c r="N53" s="5">
        <f t="shared" si="12"/>
        <v>40953.057087599991</v>
      </c>
      <c r="O53" s="5">
        <f>(O42+O44+O45)*3%</f>
        <v>4.6583582159999999</v>
      </c>
      <c r="P53" s="47">
        <f t="shared" si="28"/>
        <v>1.2896635257042637E-3</v>
      </c>
      <c r="Q53" s="5">
        <f t="shared" si="13"/>
        <v>125.775671832</v>
      </c>
      <c r="R53" s="5">
        <f t="shared" si="3"/>
        <v>3521.7188112960002</v>
      </c>
      <c r="S53" s="5">
        <f>(S42+S44+S45)*3%</f>
        <v>5.2779629066666667</v>
      </c>
      <c r="T53" s="47">
        <f t="shared" si="29"/>
        <v>1.2996506489923241E-3</v>
      </c>
      <c r="U53" s="5">
        <f t="shared" si="14"/>
        <v>0</v>
      </c>
      <c r="V53" s="5">
        <f t="shared" si="15"/>
        <v>0</v>
      </c>
      <c r="W53" s="5">
        <f>(W42+W44+W45)*3%</f>
        <v>10.779542999999999</v>
      </c>
      <c r="X53" s="47">
        <f t="shared" si="30"/>
        <v>1.4041531122934736E-3</v>
      </c>
      <c r="Y53" s="5">
        <f t="shared" si="16"/>
        <v>571.31577899999991</v>
      </c>
      <c r="Z53" s="5">
        <f t="shared" si="17"/>
        <v>15996.841811999997</v>
      </c>
      <c r="AA53" s="5">
        <f>(AA42+AA44+AA45)*3%</f>
        <v>12.211959749999998</v>
      </c>
      <c r="AB53" s="47">
        <f t="shared" si="31"/>
        <v>1.3749201339113008E-3</v>
      </c>
      <c r="AC53" s="5">
        <f t="shared" si="18"/>
        <v>0</v>
      </c>
      <c r="AD53" s="5">
        <f t="shared" si="19"/>
        <v>0</v>
      </c>
      <c r="AE53" s="5">
        <f>(AE42+AE44+AE45)*3%</f>
        <v>5.3897714999999993</v>
      </c>
      <c r="AF53" s="47">
        <f t="shared" si="32"/>
        <v>1.2685890018578716E-3</v>
      </c>
      <c r="AG53" s="5">
        <f t="shared" si="20"/>
        <v>420.40217699999994</v>
      </c>
      <c r="AH53" s="5">
        <f t="shared" si="21"/>
        <v>11771.260955999998</v>
      </c>
      <c r="AI53" s="5">
        <f t="shared" si="22"/>
        <v>2580.1028095319994</v>
      </c>
      <c r="AJ53" s="5">
        <f t="shared" si="23"/>
        <v>72242.87866689598</v>
      </c>
      <c r="AK53" s="47">
        <f t="shared" si="33"/>
        <v>1.3099692742053707E-3</v>
      </c>
    </row>
    <row r="54" spans="1:38" x14ac:dyDescent="0.3">
      <c r="A54" s="67"/>
      <c r="B54" s="80"/>
      <c r="C54" s="11" t="s">
        <v>108</v>
      </c>
      <c r="D54" s="12" t="s">
        <v>7</v>
      </c>
      <c r="E54" s="72" t="s">
        <v>138</v>
      </c>
      <c r="F54" s="73"/>
      <c r="G54" s="13">
        <f>SUM(G42:G53)</f>
        <v>156.48243901485478</v>
      </c>
      <c r="H54" s="46">
        <f t="shared" si="26"/>
        <v>5.7580982674674451E-2</v>
      </c>
      <c r="I54" s="13">
        <f t="shared" si="9"/>
        <v>0</v>
      </c>
      <c r="J54" s="13">
        <f t="shared" si="10"/>
        <v>0</v>
      </c>
      <c r="K54" s="13">
        <f>SUM(K42:K53)</f>
        <v>264.0863296395238</v>
      </c>
      <c r="L54" s="46">
        <f t="shared" si="27"/>
        <v>5.6833074866475562E-2</v>
      </c>
      <c r="M54" s="13">
        <f t="shared" si="11"/>
        <v>64437.064432043808</v>
      </c>
      <c r="N54" s="13">
        <f t="shared" si="12"/>
        <v>1804237.8040972266</v>
      </c>
      <c r="O54" s="13">
        <f>SUM(O42:O53)</f>
        <v>216.56105213702861</v>
      </c>
      <c r="P54" s="46">
        <f t="shared" si="28"/>
        <v>5.9954790310025659E-2</v>
      </c>
      <c r="Q54" s="13">
        <f t="shared" si="13"/>
        <v>5847.1484076997722</v>
      </c>
      <c r="R54" s="13">
        <f t="shared" si="3"/>
        <v>163720.15541559362</v>
      </c>
      <c r="S54" s="13">
        <f>SUM(S42:S53)</f>
        <v>239.6276360490794</v>
      </c>
      <c r="T54" s="46">
        <f t="shared" si="29"/>
        <v>5.9006138962118926E-2</v>
      </c>
      <c r="U54" s="13">
        <f t="shared" si="14"/>
        <v>0</v>
      </c>
      <c r="V54" s="13">
        <f t="shared" si="15"/>
        <v>0</v>
      </c>
      <c r="W54" s="13">
        <f>SUM(W42:W53)</f>
        <v>448.30610533333328</v>
      </c>
      <c r="X54" s="46">
        <f t="shared" si="30"/>
        <v>5.8396762558854842E-2</v>
      </c>
      <c r="Y54" s="13">
        <f t="shared" si="16"/>
        <v>23760.223582666662</v>
      </c>
      <c r="Z54" s="13">
        <f t="shared" si="17"/>
        <v>665286.26031466655</v>
      </c>
      <c r="AA54" s="13">
        <f>SUM(AA42:AA53)</f>
        <v>504.07486413333334</v>
      </c>
      <c r="AB54" s="46">
        <f t="shared" si="31"/>
        <v>5.6752781198408681E-2</v>
      </c>
      <c r="AC54" s="13">
        <f t="shared" si="18"/>
        <v>0</v>
      </c>
      <c r="AD54" s="13">
        <f t="shared" si="19"/>
        <v>0</v>
      </c>
      <c r="AE54" s="13">
        <f>SUM(AE42:AE53)</f>
        <v>241.57637932023806</v>
      </c>
      <c r="AF54" s="46">
        <f t="shared" si="32"/>
        <v>5.6859764447212545E-2</v>
      </c>
      <c r="AG54" s="13">
        <f t="shared" si="20"/>
        <v>18842.957586978569</v>
      </c>
      <c r="AH54" s="13">
        <f t="shared" si="21"/>
        <v>527602.81243539997</v>
      </c>
      <c r="AI54" s="13">
        <f t="shared" si="22"/>
        <v>112887.39400938881</v>
      </c>
      <c r="AJ54" s="13">
        <f t="shared" si="23"/>
        <v>3160847.0322628869</v>
      </c>
      <c r="AK54" s="46">
        <f t="shared" si="33"/>
        <v>5.7315164748895538E-2</v>
      </c>
      <c r="AL54" s="3"/>
    </row>
    <row r="55" spans="1:38" x14ac:dyDescent="0.3">
      <c r="A55" s="67"/>
      <c r="B55" s="78" t="s">
        <v>32</v>
      </c>
      <c r="C55" s="18" t="s">
        <v>109</v>
      </c>
      <c r="D55" s="9" t="s">
        <v>44</v>
      </c>
      <c r="E55" s="105" t="s">
        <v>106</v>
      </c>
      <c r="F55" s="106"/>
      <c r="G55" s="10">
        <f>((I4/30*33)*21.36%)/28</f>
        <v>10.730203628571427</v>
      </c>
      <c r="H55" s="45">
        <f t="shared" si="26"/>
        <v>3.948402601098566E-3</v>
      </c>
      <c r="I55" s="10">
        <f t="shared" si="9"/>
        <v>0</v>
      </c>
      <c r="J55" s="10">
        <f t="shared" si="10"/>
        <v>0</v>
      </c>
      <c r="K55" s="10">
        <f>((M4/30*33)*21.36%)/28</f>
        <v>20.718437142857141</v>
      </c>
      <c r="L55" s="45">
        <f t="shared" si="27"/>
        <v>4.4587407870132385E-3</v>
      </c>
      <c r="M55" s="10">
        <f t="shared" si="11"/>
        <v>5055.2986628571425</v>
      </c>
      <c r="N55" s="10">
        <f t="shared" si="12"/>
        <v>141548.36255999998</v>
      </c>
      <c r="O55" s="10">
        <f>((Q4/30*33)*21.36%)/28</f>
        <v>15.328119085714286</v>
      </c>
      <c r="P55" s="45">
        <f t="shared" si="28"/>
        <v>4.2435800738981006E-3</v>
      </c>
      <c r="Q55" s="10">
        <f t="shared" si="13"/>
        <v>413.85921531428573</v>
      </c>
      <c r="R55" s="10">
        <f t="shared" si="3"/>
        <v>11588.0580288</v>
      </c>
      <c r="S55" s="10">
        <f>((U4/30*33)*21.36%)/28</f>
        <v>17.36690057142857</v>
      </c>
      <c r="T55" s="45">
        <f t="shared" si="29"/>
        <v>4.2764422558053015E-3</v>
      </c>
      <c r="U55" s="10">
        <f t="shared" si="14"/>
        <v>0</v>
      </c>
      <c r="V55" s="10">
        <f t="shared" si="15"/>
        <v>0</v>
      </c>
      <c r="W55" s="10">
        <f>((Y4/30*33)*21.36%)/28</f>
        <v>37.257942857142851</v>
      </c>
      <c r="X55" s="45">
        <f t="shared" si="30"/>
        <v>4.8532536509673496E-3</v>
      </c>
      <c r="Y55" s="10">
        <f t="shared" si="16"/>
        <v>1974.6709714285712</v>
      </c>
      <c r="Z55" s="10">
        <f t="shared" si="17"/>
        <v>55290.787199999992</v>
      </c>
      <c r="AA55" s="10">
        <f>((AC4/30*33)*21.36%)/28</f>
        <v>42.208885714285714</v>
      </c>
      <c r="AB55" s="45">
        <f t="shared" si="31"/>
        <v>4.7522140579060223E-3</v>
      </c>
      <c r="AC55" s="10">
        <f t="shared" si="18"/>
        <v>0</v>
      </c>
      <c r="AD55" s="10">
        <f t="shared" si="19"/>
        <v>0</v>
      </c>
      <c r="AE55" s="10">
        <f>((AG4/30*33)*21.36%)/28</f>
        <v>18.628971428571425</v>
      </c>
      <c r="AF55" s="45">
        <f t="shared" si="32"/>
        <v>4.3846957649707856E-3</v>
      </c>
      <c r="AG55" s="10">
        <f t="shared" si="20"/>
        <v>1453.0597714285711</v>
      </c>
      <c r="AH55" s="10">
        <f t="shared" si="21"/>
        <v>40685.673599999995</v>
      </c>
      <c r="AI55" s="10">
        <f t="shared" si="22"/>
        <v>8896.8886210285691</v>
      </c>
      <c r="AJ55" s="10">
        <f t="shared" si="23"/>
        <v>249112.88138879993</v>
      </c>
      <c r="AK55" s="45">
        <f t="shared" si="33"/>
        <v>4.5171264829128397E-3</v>
      </c>
    </row>
    <row r="56" spans="1:38" x14ac:dyDescent="0.3">
      <c r="A56" s="67"/>
      <c r="B56" s="79"/>
      <c r="C56" s="18" t="s">
        <v>110</v>
      </c>
      <c r="D56" s="9" t="s">
        <v>105</v>
      </c>
      <c r="E56" s="70" t="s">
        <v>83</v>
      </c>
      <c r="F56" s="71"/>
      <c r="G56" s="10">
        <f>(I4+I4/3)/12/28</f>
        <v>5.0742460317460312</v>
      </c>
      <c r="H56" s="45">
        <f t="shared" si="26"/>
        <v>1.8671748387898489E-3</v>
      </c>
      <c r="I56" s="10">
        <f t="shared" si="9"/>
        <v>0</v>
      </c>
      <c r="J56" s="10">
        <f t="shared" si="10"/>
        <v>0</v>
      </c>
      <c r="K56" s="10">
        <f>(M4+M4/3)/12/28</f>
        <v>9.7976190476190474</v>
      </c>
      <c r="L56" s="45">
        <f t="shared" si="27"/>
        <v>2.1085105677624743E-3</v>
      </c>
      <c r="M56" s="10">
        <f t="shared" si="11"/>
        <v>2390.6190476190477</v>
      </c>
      <c r="N56" s="10">
        <f t="shared" si="12"/>
        <v>66937.333333333343</v>
      </c>
      <c r="O56" s="10">
        <f>(Q4+Q4/3)/12/28</f>
        <v>7.2485714285714291</v>
      </c>
      <c r="P56" s="45">
        <f t="shared" si="28"/>
        <v>2.0067624153038343E-3</v>
      </c>
      <c r="Q56" s="10">
        <f t="shared" si="13"/>
        <v>195.7114285714286</v>
      </c>
      <c r="R56" s="10">
        <f t="shared" si="3"/>
        <v>5479.920000000001</v>
      </c>
      <c r="S56" s="10">
        <f>(U4+U4/3)/12/28</f>
        <v>8.2126984126984119</v>
      </c>
      <c r="T56" s="45">
        <f t="shared" si="29"/>
        <v>2.0223027351252702E-3</v>
      </c>
      <c r="U56" s="10">
        <f t="shared" si="14"/>
        <v>0</v>
      </c>
      <c r="V56" s="10">
        <f t="shared" si="15"/>
        <v>0</v>
      </c>
      <c r="W56" s="10">
        <f>(Y4+Y4/3)/12/28</f>
        <v>17.619047619047617</v>
      </c>
      <c r="X56" s="45">
        <f t="shared" si="30"/>
        <v>2.2950732280517484E-3</v>
      </c>
      <c r="Y56" s="10">
        <f t="shared" si="16"/>
        <v>933.80952380952374</v>
      </c>
      <c r="Z56" s="10">
        <f t="shared" si="17"/>
        <v>26146.666666666664</v>
      </c>
      <c r="AA56" s="10">
        <f>(AC4+AC4/3)/12/28</f>
        <v>19.960317460317462</v>
      </c>
      <c r="AB56" s="45">
        <f t="shared" si="31"/>
        <v>2.247292237877853E-3</v>
      </c>
      <c r="AC56" s="10">
        <f t="shared" si="18"/>
        <v>0</v>
      </c>
      <c r="AD56" s="10">
        <f t="shared" si="19"/>
        <v>0</v>
      </c>
      <c r="AE56" s="10">
        <f>(AG4+AG4/3)/12/28</f>
        <v>8.8095238095238084</v>
      </c>
      <c r="AF56" s="45">
        <f t="shared" si="32"/>
        <v>2.0734951410030953E-3</v>
      </c>
      <c r="AG56" s="10">
        <f t="shared" si="20"/>
        <v>687.14285714285711</v>
      </c>
      <c r="AH56" s="10">
        <f t="shared" si="21"/>
        <v>19240</v>
      </c>
      <c r="AI56" s="10">
        <f t="shared" si="22"/>
        <v>4207.2828571428572</v>
      </c>
      <c r="AJ56" s="10">
        <f t="shared" si="23"/>
        <v>117803.92</v>
      </c>
      <c r="AK56" s="45">
        <f t="shared" si="33"/>
        <v>2.1361207973521926E-3</v>
      </c>
    </row>
    <row r="57" spans="1:38" x14ac:dyDescent="0.3">
      <c r="A57" s="67"/>
      <c r="B57" s="79"/>
      <c r="C57" s="18" t="s">
        <v>144</v>
      </c>
      <c r="D57" s="9" t="s">
        <v>48</v>
      </c>
      <c r="E57" s="70" t="s">
        <v>82</v>
      </c>
      <c r="F57" s="71"/>
      <c r="G57" s="10">
        <f>I4/12/28</f>
        <v>3.805684523809524</v>
      </c>
      <c r="H57" s="45">
        <f t="shared" si="26"/>
        <v>1.400381129092387E-3</v>
      </c>
      <c r="I57" s="10">
        <f t="shared" si="9"/>
        <v>0</v>
      </c>
      <c r="J57" s="10">
        <f t="shared" si="10"/>
        <v>0</v>
      </c>
      <c r="K57" s="10">
        <f>M4/12/28</f>
        <v>7.3482142857142856</v>
      </c>
      <c r="L57" s="45">
        <f t="shared" si="27"/>
        <v>1.5813829258218557E-3</v>
      </c>
      <c r="M57" s="10">
        <f t="shared" si="11"/>
        <v>1792.9642857142858</v>
      </c>
      <c r="N57" s="10">
        <f t="shared" si="12"/>
        <v>50203</v>
      </c>
      <c r="O57" s="10">
        <f>Q4/12/28</f>
        <v>5.4364285714285714</v>
      </c>
      <c r="P57" s="45">
        <f t="shared" si="28"/>
        <v>1.5050718114778758E-3</v>
      </c>
      <c r="Q57" s="10">
        <f t="shared" si="13"/>
        <v>146.78357142857143</v>
      </c>
      <c r="R57" s="10">
        <f t="shared" si="3"/>
        <v>4109.9400000000005</v>
      </c>
      <c r="S57" s="10">
        <f>U4/12/28</f>
        <v>6.1595238095238098</v>
      </c>
      <c r="T57" s="45">
        <f t="shared" si="29"/>
        <v>1.5167270513439528E-3</v>
      </c>
      <c r="U57" s="10">
        <f t="shared" si="14"/>
        <v>0</v>
      </c>
      <c r="V57" s="10">
        <f t="shared" si="15"/>
        <v>0</v>
      </c>
      <c r="W57" s="10">
        <f>Y4/12/28</f>
        <v>13.214285714285714</v>
      </c>
      <c r="X57" s="45">
        <f t="shared" si="30"/>
        <v>1.7213049210388115E-3</v>
      </c>
      <c r="Y57" s="10">
        <f t="shared" si="16"/>
        <v>700.35714285714278</v>
      </c>
      <c r="Z57" s="10">
        <f t="shared" si="17"/>
        <v>19609.999999999996</v>
      </c>
      <c r="AA57" s="10">
        <f>AC4/12/28</f>
        <v>14.970238095238097</v>
      </c>
      <c r="AB57" s="45">
        <f t="shared" si="31"/>
        <v>1.6854691784083896E-3</v>
      </c>
      <c r="AC57" s="10">
        <f t="shared" si="18"/>
        <v>0</v>
      </c>
      <c r="AD57" s="10">
        <f t="shared" si="19"/>
        <v>0</v>
      </c>
      <c r="AE57" s="10">
        <f>AG4/12/28</f>
        <v>6.6071428571428568</v>
      </c>
      <c r="AF57" s="45">
        <f t="shared" si="32"/>
        <v>1.5551213557523215E-3</v>
      </c>
      <c r="AG57" s="10">
        <f t="shared" si="20"/>
        <v>515.35714285714278</v>
      </c>
      <c r="AH57" s="10">
        <f t="shared" si="21"/>
        <v>14429.999999999998</v>
      </c>
      <c r="AI57" s="10">
        <f t="shared" si="22"/>
        <v>3155.4621428571427</v>
      </c>
      <c r="AJ57" s="10">
        <f t="shared" si="23"/>
        <v>88352.94</v>
      </c>
      <c r="AK57" s="45">
        <f t="shared" si="33"/>
        <v>1.6020905980141445E-3</v>
      </c>
    </row>
    <row r="58" spans="1:38" x14ac:dyDescent="0.3">
      <c r="A58" s="67"/>
      <c r="B58" s="79"/>
      <c r="C58" s="18" t="s">
        <v>145</v>
      </c>
      <c r="D58" s="9" t="s">
        <v>9</v>
      </c>
      <c r="E58" s="70" t="s">
        <v>156</v>
      </c>
      <c r="F58" s="71"/>
      <c r="G58" s="10">
        <f>(G55+G57)*8%</f>
        <v>1.1628710521904762</v>
      </c>
      <c r="H58" s="45">
        <f t="shared" si="26"/>
        <v>4.2790269841527627E-4</v>
      </c>
      <c r="I58" s="10">
        <f t="shared" si="9"/>
        <v>0</v>
      </c>
      <c r="J58" s="10">
        <f t="shared" si="10"/>
        <v>0</v>
      </c>
      <c r="K58" s="10">
        <f>(K55+K57)*8%</f>
        <v>2.2453321142857141</v>
      </c>
      <c r="L58" s="45">
        <f t="shared" si="27"/>
        <v>4.8320989702680756E-4</v>
      </c>
      <c r="M58" s="10">
        <f t="shared" si="11"/>
        <v>547.86103588571427</v>
      </c>
      <c r="N58" s="10">
        <f t="shared" si="12"/>
        <v>15340.109004800001</v>
      </c>
      <c r="O58" s="10">
        <f>(O55+O57)*8%</f>
        <v>1.6611638125714285</v>
      </c>
      <c r="P58" s="45">
        <f t="shared" si="28"/>
        <v>4.5989215083007808E-4</v>
      </c>
      <c r="Q58" s="10">
        <f t="shared" si="13"/>
        <v>44.851422939428573</v>
      </c>
      <c r="R58" s="10">
        <f t="shared" si="3"/>
        <v>1255.8398423040001</v>
      </c>
      <c r="S58" s="10">
        <f>(S55+S57)*8%</f>
        <v>1.8821139504761903</v>
      </c>
      <c r="T58" s="45">
        <f t="shared" si="29"/>
        <v>4.6345354457194029E-4</v>
      </c>
      <c r="U58" s="10">
        <f t="shared" si="14"/>
        <v>0</v>
      </c>
      <c r="V58" s="10">
        <f t="shared" si="15"/>
        <v>0</v>
      </c>
      <c r="W58" s="10">
        <f>(W55+W57)*8%</f>
        <v>4.0377782857142854</v>
      </c>
      <c r="X58" s="45">
        <f t="shared" si="30"/>
        <v>5.2596468576049295E-4</v>
      </c>
      <c r="Y58" s="10">
        <f t="shared" si="16"/>
        <v>214.00224914285712</v>
      </c>
      <c r="Z58" s="10">
        <f t="shared" si="17"/>
        <v>5992.0629759999993</v>
      </c>
      <c r="AA58" s="10">
        <f>(AA55+AA57)*8%</f>
        <v>4.574329904761905</v>
      </c>
      <c r="AB58" s="45">
        <f t="shared" si="31"/>
        <v>5.1501465890515293E-4</v>
      </c>
      <c r="AC58" s="10">
        <f t="shared" si="18"/>
        <v>0</v>
      </c>
      <c r="AD58" s="10">
        <f t="shared" si="19"/>
        <v>0</v>
      </c>
      <c r="AE58" s="10">
        <f>(AE55+AE57)*8%</f>
        <v>2.0188891428571427</v>
      </c>
      <c r="AF58" s="45">
        <f t="shared" si="32"/>
        <v>4.7518536965784859E-4</v>
      </c>
      <c r="AG58" s="10">
        <f t="shared" si="20"/>
        <v>157.47335314285712</v>
      </c>
      <c r="AH58" s="10">
        <f t="shared" si="21"/>
        <v>4409.2538879999993</v>
      </c>
      <c r="AI58" s="10">
        <f t="shared" si="22"/>
        <v>964.18806111085723</v>
      </c>
      <c r="AJ58" s="10">
        <f t="shared" si="23"/>
        <v>26997.265711104003</v>
      </c>
      <c r="AK58" s="45">
        <f t="shared" si="33"/>
        <v>4.8953736647415892E-4</v>
      </c>
    </row>
    <row r="59" spans="1:38" x14ac:dyDescent="0.3">
      <c r="A59" s="67"/>
      <c r="B59" s="79"/>
      <c r="C59" s="18" t="s">
        <v>146</v>
      </c>
      <c r="D59" s="9" t="s">
        <v>12</v>
      </c>
      <c r="E59" s="70"/>
      <c r="F59" s="71"/>
      <c r="G59" s="10"/>
      <c r="H59" s="45"/>
      <c r="I59" s="10"/>
      <c r="J59" s="10"/>
      <c r="K59" s="10"/>
      <c r="L59" s="45"/>
      <c r="M59" s="10"/>
      <c r="N59" s="10"/>
      <c r="O59" s="10"/>
      <c r="P59" s="45"/>
      <c r="Q59" s="10"/>
      <c r="R59" s="10"/>
      <c r="S59" s="10"/>
      <c r="T59" s="45"/>
      <c r="U59" s="10"/>
      <c r="V59" s="10"/>
      <c r="W59" s="10"/>
      <c r="X59" s="45"/>
      <c r="Y59" s="10"/>
      <c r="Z59" s="10"/>
      <c r="AA59" s="10"/>
      <c r="AB59" s="45"/>
      <c r="AC59" s="10"/>
      <c r="AD59" s="10"/>
      <c r="AE59" s="10"/>
      <c r="AF59" s="45"/>
      <c r="AG59" s="10"/>
      <c r="AH59" s="10"/>
      <c r="AI59" s="10"/>
      <c r="AJ59" s="10"/>
      <c r="AK59" s="45"/>
    </row>
    <row r="60" spans="1:38" x14ac:dyDescent="0.3">
      <c r="A60" s="67"/>
      <c r="B60" s="79"/>
      <c r="C60" s="18" t="s">
        <v>147</v>
      </c>
      <c r="D60" s="9" t="s">
        <v>100</v>
      </c>
      <c r="E60" s="70" t="s">
        <v>158</v>
      </c>
      <c r="F60" s="71"/>
      <c r="G60" s="10">
        <f>(G55+G57)*0.2%</f>
        <v>2.9071776304761904E-2</v>
      </c>
      <c r="H60" s="45">
        <f t="shared" ref="H60:H75" si="34">G60/$G$81</f>
        <v>1.0697567460381906E-5</v>
      </c>
      <c r="I60" s="10">
        <f t="shared" si="9"/>
        <v>0</v>
      </c>
      <c r="J60" s="10">
        <f t="shared" si="10"/>
        <v>0</v>
      </c>
      <c r="K60" s="10">
        <f>(K55+K57)*0.2%</f>
        <v>5.6133302857142853E-2</v>
      </c>
      <c r="L60" s="45">
        <f t="shared" ref="L60:L75" si="35">K60/$K$81</f>
        <v>1.2080247425670189E-5</v>
      </c>
      <c r="M60" s="10">
        <f t="shared" si="11"/>
        <v>13.696525897142855</v>
      </c>
      <c r="N60" s="10">
        <f t="shared" si="12"/>
        <v>383.50272511999992</v>
      </c>
      <c r="O60" s="10">
        <f>(O55+O57)*0.2%</f>
        <v>4.1529095314285711E-2</v>
      </c>
      <c r="P60" s="45">
        <f t="shared" ref="P60:P75" si="36">O60/$O$81</f>
        <v>1.1497303770751951E-5</v>
      </c>
      <c r="Q60" s="10">
        <f t="shared" si="13"/>
        <v>1.1212855734857141</v>
      </c>
      <c r="R60" s="10">
        <f t="shared" si="3"/>
        <v>31.395996057599994</v>
      </c>
      <c r="S60" s="10">
        <f>(S55+S57)*0.2%</f>
        <v>4.7052848761904756E-2</v>
      </c>
      <c r="T60" s="45">
        <f t="shared" ref="T60:T75" si="37">S60/$S$81</f>
        <v>1.1586338614298507E-5</v>
      </c>
      <c r="U60" s="10">
        <f t="shared" si="14"/>
        <v>0</v>
      </c>
      <c r="V60" s="10">
        <f t="shared" si="15"/>
        <v>0</v>
      </c>
      <c r="W60" s="10">
        <f>(W55+W57)*0.2%</f>
        <v>0.10094445714285713</v>
      </c>
      <c r="X60" s="45">
        <f t="shared" ref="X60:X75" si="38">W60/$W$81</f>
        <v>1.3149117144012322E-5</v>
      </c>
      <c r="Y60" s="10">
        <f t="shared" si="16"/>
        <v>5.3500562285714279</v>
      </c>
      <c r="Z60" s="10">
        <f t="shared" si="17"/>
        <v>149.80157439999999</v>
      </c>
      <c r="AA60" s="10">
        <f>(AA55+AA57)*0.2%</f>
        <v>0.11435824761904761</v>
      </c>
      <c r="AB60" s="45">
        <f t="shared" ref="AB60:AB75" si="39">AA60/$AA$81</f>
        <v>1.2875366472628824E-5</v>
      </c>
      <c r="AC60" s="10">
        <f t="shared" si="18"/>
        <v>0</v>
      </c>
      <c r="AD60" s="10">
        <f t="shared" si="19"/>
        <v>0</v>
      </c>
      <c r="AE60" s="10">
        <f>(AE55+AE57)*0.2%</f>
        <v>5.0472228571428565E-2</v>
      </c>
      <c r="AF60" s="45">
        <f t="shared" ref="AF60:AF75" si="40">AE60/$AE$81</f>
        <v>1.1879634241446213E-5</v>
      </c>
      <c r="AG60" s="10">
        <f t="shared" si="20"/>
        <v>3.9368338285714279</v>
      </c>
      <c r="AH60" s="10">
        <f t="shared" si="21"/>
        <v>110.23134719999999</v>
      </c>
      <c r="AI60" s="10">
        <f t="shared" si="22"/>
        <v>24.104701527771425</v>
      </c>
      <c r="AJ60" s="10">
        <f t="shared" si="23"/>
        <v>674.9316427775999</v>
      </c>
      <c r="AK60" s="45">
        <f t="shared" ref="AK60:AK76" si="41">AJ60/$AJ$81</f>
        <v>1.2238434161853969E-5</v>
      </c>
    </row>
    <row r="61" spans="1:38" x14ac:dyDescent="0.3">
      <c r="A61" s="67"/>
      <c r="B61" s="79"/>
      <c r="C61" s="18" t="s">
        <v>148</v>
      </c>
      <c r="D61" s="9" t="s">
        <v>114</v>
      </c>
      <c r="E61" s="70" t="s">
        <v>159</v>
      </c>
      <c r="F61" s="71"/>
      <c r="G61" s="10">
        <f>(G55+G57)*1%</f>
        <v>0.14535888152380952</v>
      </c>
      <c r="H61" s="45">
        <f t="shared" si="34"/>
        <v>5.3487837301909533E-5</v>
      </c>
      <c r="I61" s="10">
        <f t="shared" si="9"/>
        <v>0</v>
      </c>
      <c r="J61" s="10">
        <f t="shared" si="10"/>
        <v>0</v>
      </c>
      <c r="K61" s="10">
        <f>(K55+K57)*1%</f>
        <v>0.28066651428571426</v>
      </c>
      <c r="L61" s="45">
        <f t="shared" si="35"/>
        <v>6.0401237128350945E-5</v>
      </c>
      <c r="M61" s="10">
        <f t="shared" si="11"/>
        <v>68.482629485714284</v>
      </c>
      <c r="N61" s="10">
        <f t="shared" si="12"/>
        <v>1917.5136256000001</v>
      </c>
      <c r="O61" s="10">
        <f>(O55+O57)*1%</f>
        <v>0.20764547657142857</v>
      </c>
      <c r="P61" s="45">
        <f t="shared" si="36"/>
        <v>5.748651885375976E-5</v>
      </c>
      <c r="Q61" s="10">
        <f t="shared" si="13"/>
        <v>5.6064278674285717</v>
      </c>
      <c r="R61" s="10">
        <f t="shared" si="3"/>
        <v>156.97998028800001</v>
      </c>
      <c r="S61" s="10">
        <f>(S55+S57)*1%</f>
        <v>0.23526424380952379</v>
      </c>
      <c r="T61" s="45">
        <f t="shared" si="37"/>
        <v>5.7931693071492536E-5</v>
      </c>
      <c r="U61" s="10">
        <f t="shared" si="14"/>
        <v>0</v>
      </c>
      <c r="V61" s="10">
        <f t="shared" si="15"/>
        <v>0</v>
      </c>
      <c r="W61" s="10">
        <f>(W55+W57)*1%</f>
        <v>0.50472228571428568</v>
      </c>
      <c r="X61" s="45">
        <f t="shared" si="38"/>
        <v>6.5745585720061619E-5</v>
      </c>
      <c r="Y61" s="10">
        <f t="shared" si="16"/>
        <v>26.750281142857141</v>
      </c>
      <c r="Z61" s="10">
        <f t="shared" si="17"/>
        <v>749.00787199999991</v>
      </c>
      <c r="AA61" s="10">
        <f>(AA55+AA57)*1%</f>
        <v>0.57179123809523813</v>
      </c>
      <c r="AB61" s="45">
        <f t="shared" si="39"/>
        <v>6.4376832363144116E-5</v>
      </c>
      <c r="AC61" s="10">
        <f t="shared" si="18"/>
        <v>0</v>
      </c>
      <c r="AD61" s="10">
        <f t="shared" si="19"/>
        <v>0</v>
      </c>
      <c r="AE61" s="10">
        <f>(AE55+AE57)*1%</f>
        <v>0.25236114285714284</v>
      </c>
      <c r="AF61" s="45">
        <f t="shared" si="40"/>
        <v>5.9398171207231073E-5</v>
      </c>
      <c r="AG61" s="10">
        <f t="shared" si="20"/>
        <v>19.68416914285714</v>
      </c>
      <c r="AH61" s="10">
        <f t="shared" si="21"/>
        <v>551.15673599999991</v>
      </c>
      <c r="AI61" s="10">
        <f t="shared" si="22"/>
        <v>120.52350763885715</v>
      </c>
      <c r="AJ61" s="10">
        <f t="shared" si="23"/>
        <v>3374.6582138880003</v>
      </c>
      <c r="AK61" s="45">
        <f t="shared" si="41"/>
        <v>6.1192170809269865E-5</v>
      </c>
    </row>
    <row r="62" spans="1:38" x14ac:dyDescent="0.3">
      <c r="A62" s="67"/>
      <c r="B62" s="79"/>
      <c r="C62" s="18" t="s">
        <v>149</v>
      </c>
      <c r="D62" s="9" t="s">
        <v>115</v>
      </c>
      <c r="E62" s="70" t="s">
        <v>160</v>
      </c>
      <c r="F62" s="71"/>
      <c r="G62" s="10">
        <f>(G55+G57)*1.5%</f>
        <v>0.21803832228571426</v>
      </c>
      <c r="H62" s="45">
        <f t="shared" si="34"/>
        <v>8.0231755952864296E-5</v>
      </c>
      <c r="I62" s="10">
        <f t="shared" si="9"/>
        <v>0</v>
      </c>
      <c r="J62" s="10">
        <f t="shared" si="10"/>
        <v>0</v>
      </c>
      <c r="K62" s="10">
        <f>(K55+K57)*1.5%</f>
        <v>0.42099977142857137</v>
      </c>
      <c r="L62" s="45">
        <f t="shared" si="35"/>
        <v>9.0601855692526407E-5</v>
      </c>
      <c r="M62" s="10">
        <f t="shared" si="11"/>
        <v>102.72394422857141</v>
      </c>
      <c r="N62" s="10">
        <f t="shared" si="12"/>
        <v>2876.2704383999994</v>
      </c>
      <c r="O62" s="10">
        <f>(O55+O57)*1.5%</f>
        <v>0.31146821485714282</v>
      </c>
      <c r="P62" s="45">
        <f t="shared" si="36"/>
        <v>8.6229778280639633E-5</v>
      </c>
      <c r="Q62" s="10">
        <f t="shared" si="13"/>
        <v>8.4096418011428558</v>
      </c>
      <c r="R62" s="10">
        <f t="shared" si="3"/>
        <v>235.46997043199997</v>
      </c>
      <c r="S62" s="10">
        <f>(S55+S57)*1.5%</f>
        <v>0.35289636571428568</v>
      </c>
      <c r="T62" s="45">
        <f t="shared" si="37"/>
        <v>8.6897539607238807E-5</v>
      </c>
      <c r="U62" s="10">
        <f t="shared" si="14"/>
        <v>0</v>
      </c>
      <c r="V62" s="10">
        <f t="shared" si="15"/>
        <v>0</v>
      </c>
      <c r="W62" s="10">
        <f>(W55+W57)*1.5%</f>
        <v>0.75708342857142852</v>
      </c>
      <c r="X62" s="45">
        <f t="shared" si="38"/>
        <v>9.8618378580092429E-5</v>
      </c>
      <c r="Y62" s="10">
        <f t="shared" si="16"/>
        <v>40.125421714285714</v>
      </c>
      <c r="Z62" s="10">
        <f t="shared" si="17"/>
        <v>1123.511808</v>
      </c>
      <c r="AA62" s="10">
        <f>(AA55+AA57)*1.5%</f>
        <v>0.85768685714285708</v>
      </c>
      <c r="AB62" s="45">
        <f t="shared" si="39"/>
        <v>9.6565248544716175E-5</v>
      </c>
      <c r="AC62" s="10">
        <f t="shared" si="18"/>
        <v>0</v>
      </c>
      <c r="AD62" s="10">
        <f t="shared" si="19"/>
        <v>0</v>
      </c>
      <c r="AE62" s="10">
        <f>(AE55+AE57)*1.5%</f>
        <v>0.37854171428571426</v>
      </c>
      <c r="AF62" s="45">
        <f t="shared" si="40"/>
        <v>8.9097256810846613E-5</v>
      </c>
      <c r="AG62" s="10">
        <f t="shared" si="20"/>
        <v>29.526253714285712</v>
      </c>
      <c r="AH62" s="10">
        <f t="shared" si="21"/>
        <v>826.73510399999998</v>
      </c>
      <c r="AI62" s="10">
        <f t="shared" si="22"/>
        <v>180.78526145828567</v>
      </c>
      <c r="AJ62" s="10">
        <f t="shared" si="23"/>
        <v>5061.9873208319987</v>
      </c>
      <c r="AK62" s="45">
        <f t="shared" si="41"/>
        <v>9.1788256213904757E-5</v>
      </c>
    </row>
    <row r="63" spans="1:38" x14ac:dyDescent="0.3">
      <c r="A63" s="67"/>
      <c r="B63" s="79"/>
      <c r="C63" s="18" t="s">
        <v>150</v>
      </c>
      <c r="D63" s="9" t="s">
        <v>116</v>
      </c>
      <c r="E63" s="70" t="s">
        <v>161</v>
      </c>
      <c r="F63" s="71"/>
      <c r="G63" s="10">
        <f>(G55+G57)*0.6%</f>
        <v>8.7215328914285711E-2</v>
      </c>
      <c r="H63" s="45">
        <f t="shared" si="34"/>
        <v>3.2092702381145721E-5</v>
      </c>
      <c r="I63" s="10">
        <f t="shared" si="9"/>
        <v>0</v>
      </c>
      <c r="J63" s="10">
        <f t="shared" si="10"/>
        <v>0</v>
      </c>
      <c r="K63" s="10">
        <f>(K55+K57)*0.6%</f>
        <v>0.16839990857142856</v>
      </c>
      <c r="L63" s="45">
        <f t="shared" si="35"/>
        <v>3.6240742277010567E-5</v>
      </c>
      <c r="M63" s="10">
        <f t="shared" si="11"/>
        <v>41.089577691428566</v>
      </c>
      <c r="N63" s="10">
        <f t="shared" si="12"/>
        <v>1150.5081753599998</v>
      </c>
      <c r="O63" s="10">
        <f>(O55+O57)*0.6%</f>
        <v>0.12458728594285713</v>
      </c>
      <c r="P63" s="45">
        <f t="shared" si="36"/>
        <v>3.4491911312255854E-5</v>
      </c>
      <c r="Q63" s="10">
        <f t="shared" si="13"/>
        <v>3.3638567204571426</v>
      </c>
      <c r="R63" s="10">
        <f t="shared" si="3"/>
        <v>94.18798817279999</v>
      </c>
      <c r="S63" s="10">
        <f>(S55+S57)*0.6%</f>
        <v>0.14115854628571428</v>
      </c>
      <c r="T63" s="45">
        <f t="shared" si="37"/>
        <v>3.4759015842895521E-5</v>
      </c>
      <c r="U63" s="10">
        <f t="shared" si="14"/>
        <v>0</v>
      </c>
      <c r="V63" s="10">
        <f t="shared" si="15"/>
        <v>0</v>
      </c>
      <c r="W63" s="10">
        <f>(W55+W57)*0.6%</f>
        <v>0.30283337142857142</v>
      </c>
      <c r="X63" s="45">
        <f t="shared" si="38"/>
        <v>3.9447351432036972E-5</v>
      </c>
      <c r="Y63" s="10">
        <f t="shared" si="16"/>
        <v>16.050168685714286</v>
      </c>
      <c r="Z63" s="10">
        <f t="shared" si="17"/>
        <v>449.40472320000003</v>
      </c>
      <c r="AA63" s="10">
        <f>(AA55+AA57)*0.6%</f>
        <v>0.34307474285714284</v>
      </c>
      <c r="AB63" s="45">
        <f t="shared" si="39"/>
        <v>3.8626099417886473E-5</v>
      </c>
      <c r="AC63" s="10">
        <f t="shared" si="18"/>
        <v>0</v>
      </c>
      <c r="AD63" s="10">
        <f t="shared" si="19"/>
        <v>0</v>
      </c>
      <c r="AE63" s="10">
        <f>(AE55+AE57)*0.6%</f>
        <v>0.15141668571428571</v>
      </c>
      <c r="AF63" s="45">
        <f t="shared" si="40"/>
        <v>3.5638902724338647E-5</v>
      </c>
      <c r="AG63" s="10">
        <f t="shared" si="20"/>
        <v>11.810501485714285</v>
      </c>
      <c r="AH63" s="10">
        <f t="shared" si="21"/>
        <v>330.69404159999999</v>
      </c>
      <c r="AI63" s="10">
        <f t="shared" si="22"/>
        <v>72.314104583314275</v>
      </c>
      <c r="AJ63" s="10">
        <f t="shared" si="23"/>
        <v>2024.7949283327998</v>
      </c>
      <c r="AK63" s="45">
        <f t="shared" si="41"/>
        <v>3.6715302485561911E-5</v>
      </c>
    </row>
    <row r="64" spans="1:38" x14ac:dyDescent="0.3">
      <c r="A64" s="67"/>
      <c r="B64" s="79"/>
      <c r="C64" s="18" t="s">
        <v>151</v>
      </c>
      <c r="D64" s="9" t="s">
        <v>14</v>
      </c>
      <c r="E64" s="70" t="s">
        <v>157</v>
      </c>
      <c r="F64" s="71"/>
      <c r="G64" s="10">
        <f>(G55+G57)*2.5%</f>
        <v>0.36339720380952384</v>
      </c>
      <c r="H64" s="45">
        <f t="shared" si="34"/>
        <v>1.3371959325477384E-4</v>
      </c>
      <c r="I64" s="10">
        <f t="shared" si="9"/>
        <v>0</v>
      </c>
      <c r="J64" s="10">
        <f t="shared" si="10"/>
        <v>0</v>
      </c>
      <c r="K64" s="10">
        <f>(K55+K57)*2.5%</f>
        <v>0.70166628571428569</v>
      </c>
      <c r="L64" s="45">
        <f t="shared" si="35"/>
        <v>1.5100309282087737E-4</v>
      </c>
      <c r="M64" s="10">
        <f t="shared" si="11"/>
        <v>171.2065737142857</v>
      </c>
      <c r="N64" s="10">
        <f t="shared" si="12"/>
        <v>4793.7840639999995</v>
      </c>
      <c r="O64" s="10">
        <f>(O55+O57)*2.5%</f>
        <v>0.51911369142857144</v>
      </c>
      <c r="P64" s="45">
        <f t="shared" si="36"/>
        <v>1.4371629713439939E-4</v>
      </c>
      <c r="Q64" s="10">
        <f t="shared" si="13"/>
        <v>14.016069668571429</v>
      </c>
      <c r="R64" s="10">
        <f t="shared" si="3"/>
        <v>392.44995072</v>
      </c>
      <c r="S64" s="10">
        <f>(S55+S57)*2.5%</f>
        <v>0.58816060952380944</v>
      </c>
      <c r="T64" s="45">
        <f t="shared" si="37"/>
        <v>1.4482923267873134E-4</v>
      </c>
      <c r="U64" s="10">
        <f t="shared" si="14"/>
        <v>0</v>
      </c>
      <c r="V64" s="10">
        <f t="shared" si="15"/>
        <v>0</v>
      </c>
      <c r="W64" s="10">
        <f>(W55+W57)*2.5%</f>
        <v>1.2618057142857142</v>
      </c>
      <c r="X64" s="45">
        <f t="shared" si="38"/>
        <v>1.6436396430015405E-4</v>
      </c>
      <c r="Y64" s="10">
        <f t="shared" si="16"/>
        <v>66.875702857142855</v>
      </c>
      <c r="Z64" s="10">
        <f t="shared" si="17"/>
        <v>1872.5196799999999</v>
      </c>
      <c r="AA64" s="10">
        <f>(AA55+AA57)*2.5%</f>
        <v>1.4294780952380952</v>
      </c>
      <c r="AB64" s="45">
        <f t="shared" si="39"/>
        <v>1.6094208090786029E-4</v>
      </c>
      <c r="AC64" s="10">
        <f t="shared" si="18"/>
        <v>0</v>
      </c>
      <c r="AD64" s="10">
        <f t="shared" si="19"/>
        <v>0</v>
      </c>
      <c r="AE64" s="10">
        <f>(AE55+AE57)*2.5%</f>
        <v>0.6309028571428571</v>
      </c>
      <c r="AF64" s="45">
        <f t="shared" si="40"/>
        <v>1.4849542801807769E-4</v>
      </c>
      <c r="AG64" s="10">
        <f t="shared" si="20"/>
        <v>49.210422857142852</v>
      </c>
      <c r="AH64" s="10">
        <f t="shared" si="21"/>
        <v>1377.8918399999998</v>
      </c>
      <c r="AI64" s="10">
        <f t="shared" si="22"/>
        <v>301.30876909714283</v>
      </c>
      <c r="AJ64" s="10">
        <f t="shared" si="23"/>
        <v>8436.645534719999</v>
      </c>
      <c r="AK64" s="45">
        <f t="shared" si="41"/>
        <v>1.5298042702317462E-4</v>
      </c>
    </row>
    <row r="65" spans="1:37" x14ac:dyDescent="0.3">
      <c r="A65" s="67"/>
      <c r="B65" s="79"/>
      <c r="C65" s="18" t="s">
        <v>152</v>
      </c>
      <c r="D65" s="9" t="s">
        <v>16</v>
      </c>
      <c r="E65" s="70" t="s">
        <v>194</v>
      </c>
      <c r="F65" s="71"/>
      <c r="G65" s="10">
        <f>(G55+G57)*3%</f>
        <v>0.43607664457142853</v>
      </c>
      <c r="H65" s="45">
        <f t="shared" si="34"/>
        <v>1.6046351190572859E-4</v>
      </c>
      <c r="I65" s="10">
        <f t="shared" si="9"/>
        <v>0</v>
      </c>
      <c r="J65" s="10">
        <f t="shared" si="10"/>
        <v>0</v>
      </c>
      <c r="K65" s="10">
        <f>(K55+K57)*3%</f>
        <v>0.84199954285714274</v>
      </c>
      <c r="L65" s="45">
        <f t="shared" si="35"/>
        <v>1.8120371138505281E-4</v>
      </c>
      <c r="M65" s="10">
        <f t="shared" si="11"/>
        <v>205.44788845714282</v>
      </c>
      <c r="N65" s="10">
        <f t="shared" si="12"/>
        <v>5752.5408767999988</v>
      </c>
      <c r="O65" s="10">
        <f>(O55+O57)*3%</f>
        <v>0.62293642971428564</v>
      </c>
      <c r="P65" s="45">
        <f t="shared" si="36"/>
        <v>1.7245955656127927E-4</v>
      </c>
      <c r="Q65" s="10">
        <f t="shared" si="13"/>
        <v>16.819283602285712</v>
      </c>
      <c r="R65" s="10">
        <f t="shared" si="3"/>
        <v>470.93994086399994</v>
      </c>
      <c r="S65" s="10">
        <f>(S55+S57)*3%</f>
        <v>0.70579273142857135</v>
      </c>
      <c r="T65" s="45">
        <f t="shared" si="37"/>
        <v>1.7379507921447761E-4</v>
      </c>
      <c r="U65" s="10">
        <f t="shared" si="14"/>
        <v>0</v>
      </c>
      <c r="V65" s="10">
        <f t="shared" si="15"/>
        <v>0</v>
      </c>
      <c r="W65" s="10">
        <f>(W55+W57)*3%</f>
        <v>1.514166857142857</v>
      </c>
      <c r="X65" s="45">
        <f t="shared" si="38"/>
        <v>1.9723675716018486E-4</v>
      </c>
      <c r="Y65" s="10">
        <f t="shared" si="16"/>
        <v>80.250843428571429</v>
      </c>
      <c r="Z65" s="10">
        <f t="shared" si="17"/>
        <v>2247.0236159999999</v>
      </c>
      <c r="AA65" s="10">
        <f>(AA55+AA57)*3%</f>
        <v>1.7153737142857142</v>
      </c>
      <c r="AB65" s="45">
        <f t="shared" si="39"/>
        <v>1.9313049708943235E-4</v>
      </c>
      <c r="AC65" s="10">
        <f t="shared" si="18"/>
        <v>0</v>
      </c>
      <c r="AD65" s="10">
        <f t="shared" si="19"/>
        <v>0</v>
      </c>
      <c r="AE65" s="10">
        <f>(AE55+AE57)*3%</f>
        <v>0.75708342857142852</v>
      </c>
      <c r="AF65" s="45">
        <f t="shared" si="40"/>
        <v>1.7819451362169323E-4</v>
      </c>
      <c r="AG65" s="10">
        <f t="shared" si="20"/>
        <v>59.052507428571424</v>
      </c>
      <c r="AH65" s="10">
        <f t="shared" si="21"/>
        <v>1653.470208</v>
      </c>
      <c r="AI65" s="10">
        <f t="shared" si="22"/>
        <v>361.57052291657135</v>
      </c>
      <c r="AJ65" s="10">
        <f t="shared" si="23"/>
        <v>10123.974641663997</v>
      </c>
      <c r="AK65" s="45">
        <f t="shared" si="41"/>
        <v>1.8357651242780951E-4</v>
      </c>
    </row>
    <row r="66" spans="1:37" x14ac:dyDescent="0.3">
      <c r="A66" s="67"/>
      <c r="B66" s="79"/>
      <c r="C66" s="18" t="s">
        <v>153</v>
      </c>
      <c r="D66" s="9" t="s">
        <v>45</v>
      </c>
      <c r="E66" s="107" t="s">
        <v>174</v>
      </c>
      <c r="F66" s="108"/>
      <c r="G66" s="10">
        <f>((G7+G23+G33+G46+G58)*40%)*85.43%</f>
        <v>42.483459239440847</v>
      </c>
      <c r="H66" s="45">
        <f t="shared" si="34"/>
        <v>1.5632676393766216E-2</v>
      </c>
      <c r="I66" s="10">
        <f t="shared" si="9"/>
        <v>0</v>
      </c>
      <c r="J66" s="10">
        <f t="shared" si="10"/>
        <v>0</v>
      </c>
      <c r="K66" s="10">
        <f>((K7+K23+K33+K46+K58)*40%)*85.43%</f>
        <v>82.029280182511627</v>
      </c>
      <c r="L66" s="45">
        <f t="shared" si="35"/>
        <v>1.7653228125133747E-2</v>
      </c>
      <c r="M66" s="10">
        <f t="shared" si="11"/>
        <v>20015.144364532836</v>
      </c>
      <c r="N66" s="10">
        <f t="shared" si="12"/>
        <v>560424.0422069194</v>
      </c>
      <c r="O66" s="10">
        <f>((O7+O23+O33+O46+O58)*40%)*85.43%</f>
        <v>60.891465949079787</v>
      </c>
      <c r="P66" s="45">
        <f t="shared" si="36"/>
        <v>1.6857763834362747E-2</v>
      </c>
      <c r="Q66" s="10">
        <f t="shared" si="13"/>
        <v>1644.0695806251542</v>
      </c>
      <c r="R66" s="10">
        <f t="shared" si="3"/>
        <v>46033.948257504322</v>
      </c>
      <c r="S66" s="10">
        <f>((S7+S23+S33+S46+S58)*40%)*85.43%</f>
        <v>68.990593619002937</v>
      </c>
      <c r="T66" s="45">
        <f t="shared" si="37"/>
        <v>1.6988309951562461E-2</v>
      </c>
      <c r="U66" s="10">
        <f t="shared" si="14"/>
        <v>0</v>
      </c>
      <c r="V66" s="10">
        <f t="shared" si="15"/>
        <v>0</v>
      </c>
      <c r="W66" s="10">
        <f>((W7+W23+W33+W46+W58)*40%)*85.43%</f>
        <v>147.41683235302099</v>
      </c>
      <c r="X66" s="45">
        <f t="shared" si="38"/>
        <v>1.9202651165540107E-2</v>
      </c>
      <c r="Y66" s="10">
        <f t="shared" si="16"/>
        <v>7813.0921147101126</v>
      </c>
      <c r="Z66" s="10">
        <f t="shared" si="17"/>
        <v>218766.57921188316</v>
      </c>
      <c r="AA66" s="10">
        <f>((AA7+AA23+AA33+AA46+AA58)*40%)*85.43%</f>
        <v>167.11513945647366</v>
      </c>
      <c r="AB66" s="45">
        <f t="shared" si="39"/>
        <v>1.8815159452200168E-2</v>
      </c>
      <c r="AC66" s="10">
        <f t="shared" si="18"/>
        <v>0</v>
      </c>
      <c r="AD66" s="10">
        <f t="shared" si="19"/>
        <v>0</v>
      </c>
      <c r="AE66" s="10">
        <f>((AE7+AE23+AE33+AE46+AE58)*40%)*85.43%</f>
        <v>73.756582424129547</v>
      </c>
      <c r="AF66" s="45">
        <f t="shared" si="40"/>
        <v>1.7360066058064678E-2</v>
      </c>
      <c r="AG66" s="10">
        <f t="shared" si="20"/>
        <v>5753.0134290821043</v>
      </c>
      <c r="AH66" s="10">
        <f t="shared" si="21"/>
        <v>161084.37601429893</v>
      </c>
      <c r="AI66" s="10">
        <f t="shared" si="22"/>
        <v>35225.319488950205</v>
      </c>
      <c r="AJ66" s="10">
        <f t="shared" si="23"/>
        <v>986308.94569060579</v>
      </c>
      <c r="AK66" s="45">
        <f t="shared" si="41"/>
        <v>1.7884592053509063E-2</v>
      </c>
    </row>
    <row r="67" spans="1:37" x14ac:dyDescent="0.3">
      <c r="A67" s="68"/>
      <c r="B67" s="80"/>
      <c r="C67" s="11" t="s">
        <v>154</v>
      </c>
      <c r="D67" s="12" t="s">
        <v>7</v>
      </c>
      <c r="E67" s="72" t="s">
        <v>155</v>
      </c>
      <c r="F67" s="73"/>
      <c r="G67" s="13">
        <f>SUM(G55:G66)</f>
        <v>64.535622633167833</v>
      </c>
      <c r="H67" s="46">
        <f t="shared" si="34"/>
        <v>2.3747230629419098E-2</v>
      </c>
      <c r="I67" s="13">
        <f t="shared" si="9"/>
        <v>0</v>
      </c>
      <c r="J67" s="13">
        <f t="shared" si="10"/>
        <v>0</v>
      </c>
      <c r="K67" s="13">
        <f>SUM(K55:K66)</f>
        <v>124.60874809870211</v>
      </c>
      <c r="L67" s="46">
        <f t="shared" si="35"/>
        <v>2.6816603189487611E-2</v>
      </c>
      <c r="M67" s="13">
        <f t="shared" si="11"/>
        <v>30404.534536083316</v>
      </c>
      <c r="N67" s="13">
        <f t="shared" si="12"/>
        <v>851326.96701033285</v>
      </c>
      <c r="O67" s="13">
        <f>SUM(O55:O66)</f>
        <v>92.393029041194069</v>
      </c>
      <c r="P67" s="46">
        <f t="shared" si="36"/>
        <v>2.5578951651785722E-2</v>
      </c>
      <c r="Q67" s="13">
        <f t="shared" si="13"/>
        <v>2494.61178411224</v>
      </c>
      <c r="R67" s="13">
        <f t="shared" si="3"/>
        <v>69849.129955142722</v>
      </c>
      <c r="S67" s="13">
        <f>SUM(S55:S66)</f>
        <v>104.68215570865374</v>
      </c>
      <c r="T67" s="46">
        <f t="shared" si="37"/>
        <v>2.5777034437438062E-2</v>
      </c>
      <c r="U67" s="13">
        <f t="shared" si="14"/>
        <v>0</v>
      </c>
      <c r="V67" s="13">
        <f t="shared" si="15"/>
        <v>0</v>
      </c>
      <c r="W67" s="13">
        <f>SUM(W55:W66)</f>
        <v>223.98744294349717</v>
      </c>
      <c r="X67" s="46">
        <f t="shared" si="38"/>
        <v>2.9176808805695051E-2</v>
      </c>
      <c r="Y67" s="13">
        <f t="shared" si="16"/>
        <v>11871.33447600535</v>
      </c>
      <c r="Z67" s="13">
        <f t="shared" si="17"/>
        <v>332397.36532814981</v>
      </c>
      <c r="AA67" s="13">
        <f>SUM(AA55:AA66)</f>
        <v>253.86067352631494</v>
      </c>
      <c r="AB67" s="46">
        <f t="shared" si="39"/>
        <v>2.8581665710093254E-2</v>
      </c>
      <c r="AC67" s="13">
        <f t="shared" si="18"/>
        <v>0</v>
      </c>
      <c r="AD67" s="13">
        <f t="shared" si="19"/>
        <v>0</v>
      </c>
      <c r="AE67" s="13">
        <f>SUM(AE55:AE66)</f>
        <v>112.04188771936764</v>
      </c>
      <c r="AF67" s="46">
        <f t="shared" si="40"/>
        <v>2.6371267596072362E-2</v>
      </c>
      <c r="AG67" s="13">
        <f t="shared" si="20"/>
        <v>8739.2672421106763</v>
      </c>
      <c r="AH67" s="13">
        <f t="shared" si="21"/>
        <v>244699.48277909894</v>
      </c>
      <c r="AI67" s="13">
        <f t="shared" si="22"/>
        <v>53509.748038311584</v>
      </c>
      <c r="AJ67" s="13">
        <f t="shared" si="23"/>
        <v>1498272.9450727243</v>
      </c>
      <c r="AK67" s="46">
        <f t="shared" si="41"/>
        <v>2.7167958401383977E-2</v>
      </c>
    </row>
    <row r="68" spans="1:37" ht="15" customHeight="1" x14ac:dyDescent="0.3">
      <c r="A68" s="69" t="s">
        <v>84</v>
      </c>
      <c r="B68" s="78" t="s">
        <v>55</v>
      </c>
      <c r="C68" s="18" t="s">
        <v>162</v>
      </c>
      <c r="D68" s="16" t="s">
        <v>55</v>
      </c>
      <c r="E68" s="116">
        <v>10</v>
      </c>
      <c r="F68" s="71"/>
      <c r="G68" s="5">
        <f>E68*6/28</f>
        <v>2.1428571428571428</v>
      </c>
      <c r="H68" s="47">
        <f t="shared" si="34"/>
        <v>7.8850905439585084E-4</v>
      </c>
      <c r="I68" s="5">
        <f>G68*$G$4</f>
        <v>0</v>
      </c>
      <c r="J68" s="5">
        <f t="shared" si="10"/>
        <v>0</v>
      </c>
      <c r="K68" s="5">
        <f>E68*6/28</f>
        <v>2.1428571428571428</v>
      </c>
      <c r="L68" s="47">
        <f t="shared" si="35"/>
        <v>4.6115662478401624E-4</v>
      </c>
      <c r="M68" s="5">
        <f t="shared" si="11"/>
        <v>522.85714285714289</v>
      </c>
      <c r="N68" s="5">
        <f t="shared" si="12"/>
        <v>14640</v>
      </c>
      <c r="O68" s="5">
        <f>E68*6/28</f>
        <v>2.1428571428571428</v>
      </c>
      <c r="P68" s="47">
        <f t="shared" si="36"/>
        <v>5.9324864465032552E-4</v>
      </c>
      <c r="Q68" s="5">
        <f t="shared" si="13"/>
        <v>57.857142857142854</v>
      </c>
      <c r="R68" s="5">
        <f t="shared" si="3"/>
        <v>1620</v>
      </c>
      <c r="S68" s="5">
        <f>E68*6/28</f>
        <v>2.1428571428571428</v>
      </c>
      <c r="T68" s="47">
        <f t="shared" si="37"/>
        <v>5.2765919838019225E-4</v>
      </c>
      <c r="U68" s="5">
        <f t="shared" si="14"/>
        <v>0</v>
      </c>
      <c r="V68" s="5">
        <f t="shared" si="15"/>
        <v>0</v>
      </c>
      <c r="W68" s="5">
        <f>E68*10/28</f>
        <v>3.5714285714285716</v>
      </c>
      <c r="X68" s="47">
        <f t="shared" si="38"/>
        <v>4.6521754622670588E-4</v>
      </c>
      <c r="Y68" s="5">
        <f t="shared" si="16"/>
        <v>189.28571428571431</v>
      </c>
      <c r="Z68" s="5">
        <f t="shared" si="17"/>
        <v>5300.0000000000009</v>
      </c>
      <c r="AA68" s="5">
        <f>E68*10/28</f>
        <v>3.5714285714285716</v>
      </c>
      <c r="AB68" s="47">
        <f t="shared" si="39"/>
        <v>4.0210000280120628E-4</v>
      </c>
      <c r="AC68" s="5">
        <f t="shared" si="18"/>
        <v>0</v>
      </c>
      <c r="AD68" s="5">
        <f t="shared" si="19"/>
        <v>0</v>
      </c>
      <c r="AE68" s="5">
        <f>E68*10/28</f>
        <v>3.5714285714285716</v>
      </c>
      <c r="AF68" s="47">
        <f t="shared" si="40"/>
        <v>8.4060613824449824E-4</v>
      </c>
      <c r="AG68" s="5">
        <f t="shared" si="20"/>
        <v>278.57142857142861</v>
      </c>
      <c r="AH68" s="5">
        <f t="shared" si="21"/>
        <v>7800.0000000000009</v>
      </c>
      <c r="AI68" s="5">
        <f t="shared" si="22"/>
        <v>1048.5714285714287</v>
      </c>
      <c r="AJ68" s="5">
        <f t="shared" si="23"/>
        <v>29360.000000000004</v>
      </c>
      <c r="AK68" s="47">
        <f t="shared" si="41"/>
        <v>5.3238047265541236E-4</v>
      </c>
    </row>
    <row r="69" spans="1:37" x14ac:dyDescent="0.3">
      <c r="A69" s="69"/>
      <c r="B69" s="80"/>
      <c r="C69" s="11" t="s">
        <v>163</v>
      </c>
      <c r="D69" s="12" t="s">
        <v>7</v>
      </c>
      <c r="E69" s="72" t="s">
        <v>162</v>
      </c>
      <c r="F69" s="73"/>
      <c r="G69" s="13">
        <f>SUM(G68)</f>
        <v>2.1428571428571428</v>
      </c>
      <c r="H69" s="46">
        <f t="shared" si="34"/>
        <v>7.8850905439585084E-4</v>
      </c>
      <c r="I69" s="13">
        <f>G69*$G$4</f>
        <v>0</v>
      </c>
      <c r="J69" s="13">
        <f t="shared" si="10"/>
        <v>0</v>
      </c>
      <c r="K69" s="13">
        <f>SUM(K68)</f>
        <v>2.1428571428571428</v>
      </c>
      <c r="L69" s="46">
        <f t="shared" si="35"/>
        <v>4.6115662478401624E-4</v>
      </c>
      <c r="M69" s="13">
        <f t="shared" si="11"/>
        <v>522.85714285714289</v>
      </c>
      <c r="N69" s="13">
        <f t="shared" si="12"/>
        <v>14640</v>
      </c>
      <c r="O69" s="13">
        <f>SUM(O68)</f>
        <v>2.1428571428571428</v>
      </c>
      <c r="P69" s="46">
        <f t="shared" si="36"/>
        <v>5.9324864465032552E-4</v>
      </c>
      <c r="Q69" s="13">
        <f t="shared" si="13"/>
        <v>57.857142857142854</v>
      </c>
      <c r="R69" s="13">
        <f t="shared" si="3"/>
        <v>1620</v>
      </c>
      <c r="S69" s="13">
        <f>SUM(S68)</f>
        <v>2.1428571428571428</v>
      </c>
      <c r="T69" s="46">
        <f t="shared" si="37"/>
        <v>5.2765919838019225E-4</v>
      </c>
      <c r="U69" s="13">
        <f t="shared" si="14"/>
        <v>0</v>
      </c>
      <c r="V69" s="13">
        <f t="shared" si="15"/>
        <v>0</v>
      </c>
      <c r="W69" s="13">
        <f>SUM(W68)</f>
        <v>3.5714285714285716</v>
      </c>
      <c r="X69" s="46">
        <f t="shared" si="38"/>
        <v>4.6521754622670588E-4</v>
      </c>
      <c r="Y69" s="13">
        <f t="shared" si="16"/>
        <v>189.28571428571431</v>
      </c>
      <c r="Z69" s="13">
        <f t="shared" si="17"/>
        <v>5300.0000000000009</v>
      </c>
      <c r="AA69" s="13">
        <f>SUM(AA68)</f>
        <v>3.5714285714285716</v>
      </c>
      <c r="AB69" s="46">
        <f t="shared" si="39"/>
        <v>4.0210000280120628E-4</v>
      </c>
      <c r="AC69" s="13">
        <f t="shared" si="18"/>
        <v>0</v>
      </c>
      <c r="AD69" s="13">
        <f t="shared" si="19"/>
        <v>0</v>
      </c>
      <c r="AE69" s="13">
        <f>SUM(AE68)</f>
        <v>3.5714285714285716</v>
      </c>
      <c r="AF69" s="46">
        <f t="shared" si="40"/>
        <v>8.4060613824449824E-4</v>
      </c>
      <c r="AG69" s="13">
        <f t="shared" si="20"/>
        <v>278.57142857142861</v>
      </c>
      <c r="AH69" s="13">
        <f t="shared" si="21"/>
        <v>7800.0000000000009</v>
      </c>
      <c r="AI69" s="13">
        <f t="shared" si="22"/>
        <v>1048.5714285714287</v>
      </c>
      <c r="AJ69" s="13">
        <f t="shared" si="23"/>
        <v>29360.000000000004</v>
      </c>
      <c r="AK69" s="46">
        <f t="shared" si="41"/>
        <v>5.3238047265541236E-4</v>
      </c>
    </row>
    <row r="70" spans="1:37" x14ac:dyDescent="0.3">
      <c r="A70" s="101" t="s">
        <v>88</v>
      </c>
      <c r="B70" s="112"/>
      <c r="C70" s="112"/>
      <c r="D70" s="112"/>
      <c r="E70" s="112"/>
      <c r="F70" s="102"/>
      <c r="G70" s="13">
        <f>SUM(G69,G67,G54,G41,G31,G21,G15)</f>
        <v>2381.8100848226259</v>
      </c>
      <c r="H70" s="46">
        <f t="shared" si="34"/>
        <v>0.87643678160919536</v>
      </c>
      <c r="I70" s="13">
        <f t="shared" ref="I70:AI70" si="42">SUM(I69,I67,I54,I41,I31,I21,I15)</f>
        <v>0</v>
      </c>
      <c r="J70" s="13">
        <f t="shared" si="42"/>
        <v>0</v>
      </c>
      <c r="K70" s="13">
        <f>SUM(K69,K67,K54,K41,K31,K21,K15)</f>
        <v>4044.4535539287026</v>
      </c>
      <c r="L70" s="46">
        <f t="shared" si="35"/>
        <v>0.87039239001189062</v>
      </c>
      <c r="M70" s="13">
        <f t="shared" si="42"/>
        <v>986846.66715860344</v>
      </c>
      <c r="N70" s="13">
        <f t="shared" si="42"/>
        <v>27631706.680440895</v>
      </c>
      <c r="O70" s="13">
        <f>SUM(O69,O67,O54,O41,O31,O21,O15)</f>
        <v>3157.9287897496515</v>
      </c>
      <c r="P70" s="46">
        <f t="shared" si="36"/>
        <v>0.87427058806323765</v>
      </c>
      <c r="Q70" s="13">
        <f t="shared" si="42"/>
        <v>85264.077323240592</v>
      </c>
      <c r="R70" s="13">
        <f t="shared" si="42"/>
        <v>2387394.1650507366</v>
      </c>
      <c r="S70" s="13">
        <f>SUM(S69,S67,S54,S41,S31,S21,S15)</f>
        <v>3498.4345473132885</v>
      </c>
      <c r="T70" s="46">
        <f t="shared" si="37"/>
        <v>0.86145787878308699</v>
      </c>
      <c r="U70" s="13">
        <f t="shared" si="42"/>
        <v>0</v>
      </c>
      <c r="V70" s="13">
        <f t="shared" si="42"/>
        <v>0</v>
      </c>
      <c r="W70" s="13">
        <f>SUM(W69,W67,W54,W41,W31,W21,W15)</f>
        <v>6882.499643514926</v>
      </c>
      <c r="X70" s="46">
        <f t="shared" si="38"/>
        <v>0.89652068689741371</v>
      </c>
      <c r="Y70" s="13">
        <f t="shared" si="42"/>
        <v>364772.48110629106</v>
      </c>
      <c r="Z70" s="13">
        <f t="shared" si="42"/>
        <v>10213629.470976152</v>
      </c>
      <c r="AA70" s="13">
        <f>SUM(AA69,AA67,AA54,AA41,AA31,AA21,AA15)</f>
        <v>7746.150140834251</v>
      </c>
      <c r="AB70" s="46">
        <f t="shared" si="39"/>
        <v>0.87212355813184461</v>
      </c>
      <c r="AC70" s="13">
        <f t="shared" si="42"/>
        <v>0</v>
      </c>
      <c r="AD70" s="13">
        <f t="shared" si="42"/>
        <v>0</v>
      </c>
      <c r="AE70" s="13">
        <f>SUM(AE69,AE67,AE54,AE41,AE31,AE21,AE15)</f>
        <v>3698.0692194205585</v>
      </c>
      <c r="AF70" s="46">
        <f t="shared" si="40"/>
        <v>0.87041351193942917</v>
      </c>
      <c r="AG70" s="13">
        <f t="shared" si="42"/>
        <v>288449.39911480353</v>
      </c>
      <c r="AH70" s="13">
        <f t="shared" si="42"/>
        <v>8076583.1752144992</v>
      </c>
      <c r="AI70" s="13">
        <f t="shared" si="42"/>
        <v>1725332.6247029388</v>
      </c>
      <c r="AJ70" s="13">
        <f t="shared" si="23"/>
        <v>48309313.491682291</v>
      </c>
      <c r="AK70" s="46">
        <f t="shared" si="41"/>
        <v>0.87598552964442455</v>
      </c>
    </row>
    <row r="71" spans="1:37" ht="14.1" customHeight="1" x14ac:dyDescent="0.3">
      <c r="A71" s="63" t="s">
        <v>85</v>
      </c>
      <c r="B71" s="69" t="s">
        <v>72</v>
      </c>
      <c r="C71" s="19" t="s">
        <v>164</v>
      </c>
      <c r="D71" s="20" t="s">
        <v>58</v>
      </c>
      <c r="E71" s="99" t="s">
        <v>203</v>
      </c>
      <c r="F71" s="100"/>
      <c r="G71" s="44">
        <f>G70*0.8%</f>
        <v>19.054480678581008</v>
      </c>
      <c r="H71" s="51">
        <f t="shared" si="34"/>
        <v>7.0114942528735633E-3</v>
      </c>
      <c r="I71" s="44">
        <f>I70*0.8%</f>
        <v>0</v>
      </c>
      <c r="J71" s="44">
        <f>J70*0.8%</f>
        <v>0</v>
      </c>
      <c r="K71" s="44">
        <f>K70*1.5%</f>
        <v>60.66680330893054</v>
      </c>
      <c r="L71" s="51">
        <f t="shared" si="35"/>
        <v>1.305588585017836E-2</v>
      </c>
      <c r="M71" s="44">
        <f>M70*1.5%</f>
        <v>14802.700007379051</v>
      </c>
      <c r="N71" s="44">
        <f>N70*1.5%</f>
        <v>414475.60020661342</v>
      </c>
      <c r="O71" s="44">
        <f>O70*1%</f>
        <v>31.579287897496517</v>
      </c>
      <c r="P71" s="51">
        <f t="shared" si="36"/>
        <v>8.742705880632376E-3</v>
      </c>
      <c r="Q71" s="44">
        <f>Q70*1%</f>
        <v>852.64077323240599</v>
      </c>
      <c r="R71" s="44">
        <f>R70*1%</f>
        <v>23873.941650507368</v>
      </c>
      <c r="S71" s="44">
        <f t="shared" ref="S71:V71" si="43">S70*2.07%</f>
        <v>72.417595129385077</v>
      </c>
      <c r="T71" s="51">
        <f t="shared" si="37"/>
        <v>1.7832178090809902E-2</v>
      </c>
      <c r="U71" s="44">
        <f t="shared" si="43"/>
        <v>0</v>
      </c>
      <c r="V71" s="44">
        <f t="shared" si="43"/>
        <v>0</v>
      </c>
      <c r="W71" s="44">
        <f>W70*0.01%</f>
        <v>0.68824996435149266</v>
      </c>
      <c r="X71" s="51">
        <f t="shared" si="38"/>
        <v>8.9652068689741369E-5</v>
      </c>
      <c r="Y71" s="44">
        <f>Y70*0.01%</f>
        <v>36.477248110629105</v>
      </c>
      <c r="Z71" s="44">
        <f>Z70*0.01%</f>
        <v>1021.3629470976152</v>
      </c>
      <c r="AA71" s="44">
        <f>AA70*1%</f>
        <v>77.461501408342514</v>
      </c>
      <c r="AB71" s="51">
        <f t="shared" si="39"/>
        <v>8.7212355813184473E-3</v>
      </c>
      <c r="AC71" s="44">
        <f>AC70*1%</f>
        <v>0</v>
      </c>
      <c r="AD71" s="44">
        <f>AD70*1%</f>
        <v>0</v>
      </c>
      <c r="AE71" s="44">
        <f>AE70*1%</f>
        <v>36.980692194205588</v>
      </c>
      <c r="AF71" s="51">
        <f t="shared" si="40"/>
        <v>8.7041351193942931E-3</v>
      </c>
      <c r="AG71" s="44">
        <f>AG70*1%</f>
        <v>2884.4939911480355</v>
      </c>
      <c r="AH71" s="44">
        <f>AH70*1%</f>
        <v>80765.831752144994</v>
      </c>
      <c r="AI71" s="21">
        <f>AG71+AC71+Y71+U71+Q71+M71+I71</f>
        <v>18576.312019870122</v>
      </c>
      <c r="AJ71" s="21">
        <f t="shared" ref="AJ71:AJ81" si="44">AI71*28</f>
        <v>520136.73655636341</v>
      </c>
      <c r="AK71" s="48">
        <f t="shared" si="41"/>
        <v>9.4315613642139105E-3</v>
      </c>
    </row>
    <row r="72" spans="1:37" x14ac:dyDescent="0.3">
      <c r="A72" s="64"/>
      <c r="B72" s="69"/>
      <c r="C72" s="22" t="s">
        <v>165</v>
      </c>
      <c r="D72" s="23" t="s">
        <v>7</v>
      </c>
      <c r="E72" s="101" t="s">
        <v>164</v>
      </c>
      <c r="F72" s="102"/>
      <c r="G72" s="24">
        <f t="shared" ref="G72:AH72" si="45">SUM(G71)</f>
        <v>19.054480678581008</v>
      </c>
      <c r="H72" s="49">
        <f t="shared" si="34"/>
        <v>7.0114942528735633E-3</v>
      </c>
      <c r="I72" s="24">
        <f t="shared" si="45"/>
        <v>0</v>
      </c>
      <c r="J72" s="24">
        <f t="shared" si="45"/>
        <v>0</v>
      </c>
      <c r="K72" s="24">
        <f t="shared" si="45"/>
        <v>60.66680330893054</v>
      </c>
      <c r="L72" s="49">
        <f t="shared" si="35"/>
        <v>1.305588585017836E-2</v>
      </c>
      <c r="M72" s="24">
        <f t="shared" si="45"/>
        <v>14802.700007379051</v>
      </c>
      <c r="N72" s="24">
        <f t="shared" si="45"/>
        <v>414475.60020661342</v>
      </c>
      <c r="O72" s="24">
        <f t="shared" si="45"/>
        <v>31.579287897496517</v>
      </c>
      <c r="P72" s="49">
        <f t="shared" si="36"/>
        <v>8.742705880632376E-3</v>
      </c>
      <c r="Q72" s="24">
        <f t="shared" si="45"/>
        <v>852.64077323240599</v>
      </c>
      <c r="R72" s="24">
        <f t="shared" si="45"/>
        <v>23873.941650507368</v>
      </c>
      <c r="S72" s="24">
        <f t="shared" si="45"/>
        <v>72.417595129385077</v>
      </c>
      <c r="T72" s="49">
        <f t="shared" si="37"/>
        <v>1.7832178090809902E-2</v>
      </c>
      <c r="U72" s="24">
        <f t="shared" si="45"/>
        <v>0</v>
      </c>
      <c r="V72" s="24">
        <f t="shared" si="45"/>
        <v>0</v>
      </c>
      <c r="W72" s="24">
        <f t="shared" si="45"/>
        <v>0.68824996435149266</v>
      </c>
      <c r="X72" s="49">
        <f t="shared" si="38"/>
        <v>8.9652068689741369E-5</v>
      </c>
      <c r="Y72" s="24">
        <f t="shared" si="45"/>
        <v>36.477248110629105</v>
      </c>
      <c r="Z72" s="24">
        <f t="shared" si="45"/>
        <v>1021.3629470976152</v>
      </c>
      <c r="AA72" s="24">
        <f t="shared" si="45"/>
        <v>77.461501408342514</v>
      </c>
      <c r="AB72" s="49">
        <f t="shared" si="39"/>
        <v>8.7212355813184473E-3</v>
      </c>
      <c r="AC72" s="24">
        <f t="shared" si="45"/>
        <v>0</v>
      </c>
      <c r="AD72" s="24">
        <f t="shared" si="45"/>
        <v>0</v>
      </c>
      <c r="AE72" s="24">
        <f t="shared" si="45"/>
        <v>36.980692194205588</v>
      </c>
      <c r="AF72" s="49">
        <f t="shared" si="40"/>
        <v>8.7041351193942931E-3</v>
      </c>
      <c r="AG72" s="24">
        <f t="shared" si="45"/>
        <v>2884.4939911480355</v>
      </c>
      <c r="AH72" s="24">
        <f t="shared" si="45"/>
        <v>80765.831752144994</v>
      </c>
      <c r="AI72" s="24">
        <f>SUM(AI71)</f>
        <v>18576.312019870122</v>
      </c>
      <c r="AJ72" s="24">
        <f t="shared" si="44"/>
        <v>520136.73655636341</v>
      </c>
      <c r="AK72" s="49">
        <f t="shared" si="41"/>
        <v>9.4315613642139105E-3</v>
      </c>
    </row>
    <row r="73" spans="1:37" x14ac:dyDescent="0.3">
      <c r="A73" s="64"/>
      <c r="B73" s="69"/>
      <c r="C73" s="19" t="s">
        <v>166</v>
      </c>
      <c r="D73" s="20" t="s">
        <v>64</v>
      </c>
      <c r="E73" s="97" t="s">
        <v>195</v>
      </c>
      <c r="F73" s="98"/>
      <c r="G73" s="21">
        <f>((G70+G72+G79)/(1-0.1033))*0.68%</f>
        <v>18.479722572866432</v>
      </c>
      <c r="H73" s="48">
        <f t="shared" si="34"/>
        <v>6.7999999999999996E-3</v>
      </c>
      <c r="I73" s="21">
        <f>((I70+I72+I79)/(1-0.1033))*0.68%</f>
        <v>0</v>
      </c>
      <c r="J73" s="21">
        <f>((J70+J72+J79)/(1-0.1033))*0.68%</f>
        <v>0</v>
      </c>
      <c r="K73" s="21">
        <f>((K70+K72+K79)/(1-0.1033))*0.68%</f>
        <v>31.597569650556647</v>
      </c>
      <c r="L73" s="48">
        <f t="shared" si="35"/>
        <v>6.8000000000000005E-3</v>
      </c>
      <c r="M73" s="21">
        <f>((M70+M72+M79)/(1-0.1033))*0.68%</f>
        <v>7709.8069947358217</v>
      </c>
      <c r="N73" s="21">
        <f>((N70+N72+N79)/(1-0.1033))*0.68%</f>
        <v>215874.595852603</v>
      </c>
      <c r="O73" s="21">
        <f>((O70+O72+O79)/(1-0.1033))*0.68%</f>
        <v>24.562093319264658</v>
      </c>
      <c r="P73" s="48">
        <f t="shared" si="36"/>
        <v>6.8000000000000005E-3</v>
      </c>
      <c r="Q73" s="21">
        <f>((Q70+Q72+Q79)/(1-0.1033))*0.68%</f>
        <v>663.17651962014554</v>
      </c>
      <c r="R73" s="21">
        <f>((R70+R72+R79)/(1-0.1033))*0.68%</f>
        <v>18568.942549364081</v>
      </c>
      <c r="S73" s="21">
        <f>((S70+S72+S79)/(1-0.1033))*0.68%</f>
        <v>27.6152270559481</v>
      </c>
      <c r="T73" s="48">
        <f t="shared" si="37"/>
        <v>6.8000000000000005E-3</v>
      </c>
      <c r="U73" s="21">
        <f>((U70+U72+U79)/(1-0.1033))*0.68%</f>
        <v>0</v>
      </c>
      <c r="V73" s="21">
        <f>((V70+V72+V79)/(1-0.1033))*0.68%</f>
        <v>0</v>
      </c>
      <c r="W73" s="21">
        <f>((W70+W72+W79)/(1-0.1033))*0.68%</f>
        <v>52.202919865536586</v>
      </c>
      <c r="X73" s="48">
        <f t="shared" si="38"/>
        <v>6.8000000000000005E-3</v>
      </c>
      <c r="Y73" s="21">
        <f>((Y70+Y72+Y79)/(1-0.1033))*0.68%</f>
        <v>2766.754752873439</v>
      </c>
      <c r="Z73" s="21">
        <f>((Z70+Z72+Z79)/(1-0.1033))*0.68%</f>
        <v>77469.133080456289</v>
      </c>
      <c r="AA73" s="21">
        <f>((AA70+AA72+AA79)/(1-0.1033))*0.68%</f>
        <v>60.397199991368502</v>
      </c>
      <c r="AB73" s="48">
        <f t="shared" si="39"/>
        <v>6.8000000000000005E-3</v>
      </c>
      <c r="AC73" s="21">
        <f>((AC70+AC72+AC79)/(1-0.1033))*0.68%</f>
        <v>0</v>
      </c>
      <c r="AD73" s="21">
        <f>((AD70+AD72+AD79)/(1-0.1033))*0.68%</f>
        <v>0</v>
      </c>
      <c r="AE73" s="21">
        <f>((AE70+AE72+AE79)/(1-0.1033))*0.68%</f>
        <v>28.890717282212556</v>
      </c>
      <c r="AF73" s="48">
        <f t="shared" si="40"/>
        <v>6.7999999999999988E-3</v>
      </c>
      <c r="AG73" s="21">
        <f>((AG70+AG72+AG79)/(1-0.1033))*0.68%</f>
        <v>2253.4759480125795</v>
      </c>
      <c r="AH73" s="21">
        <f>((AH70+AH72+AH79)/(1-0.1033))*0.68%</f>
        <v>63097.326544352232</v>
      </c>
      <c r="AI73" s="21">
        <f>((AI70+AI72+AI79)/(1-0.1033)*0.68%)</f>
        <v>13393.214215241987</v>
      </c>
      <c r="AJ73" s="21">
        <f>AI73*28</f>
        <v>375009.99802677566</v>
      </c>
      <c r="AK73" s="48">
        <f>AJ73/$AJ$81</f>
        <v>6.8000000000000022E-3</v>
      </c>
    </row>
    <row r="74" spans="1:37" x14ac:dyDescent="0.3">
      <c r="A74" s="64"/>
      <c r="B74" s="69"/>
      <c r="C74" s="19" t="s">
        <v>167</v>
      </c>
      <c r="D74" s="20" t="s">
        <v>66</v>
      </c>
      <c r="E74" s="97" t="s">
        <v>187</v>
      </c>
      <c r="F74" s="98"/>
      <c r="G74" s="21">
        <f>((G70+G72+G79)/(1-0.1033))*5%</f>
        <v>135.88031303578259</v>
      </c>
      <c r="H74" s="48">
        <f t="shared" si="34"/>
        <v>0.05</v>
      </c>
      <c r="I74" s="21">
        <f>((I70+I72+I79)/(1-0.1033))*5%</f>
        <v>0</v>
      </c>
      <c r="J74" s="21">
        <f>((J70+J72+J79)/(1-0.1033))*5%</f>
        <v>0</v>
      </c>
      <c r="K74" s="21">
        <f>((K70+K72+K79)/(1-0.1033))*5%</f>
        <v>232.33507095997535</v>
      </c>
      <c r="L74" s="48">
        <f t="shared" si="35"/>
        <v>0.05</v>
      </c>
      <c r="M74" s="21">
        <f>((M70+M72+M79)/(1-0.1033))*5%</f>
        <v>56689.757314233982</v>
      </c>
      <c r="N74" s="21">
        <f>((N70+N72+N79)/(1-0.1033))*5%</f>
        <v>1587313.2047985513</v>
      </c>
      <c r="O74" s="21">
        <f>((O70+O72+O79)/(1-0.1033))*5%</f>
        <v>180.60362734753426</v>
      </c>
      <c r="P74" s="48">
        <f t="shared" si="36"/>
        <v>5.000000000000001E-2</v>
      </c>
      <c r="Q74" s="21">
        <f>((Q70+Q72+Q79)/(1-0.1033))*5%</f>
        <v>4876.2979383834236</v>
      </c>
      <c r="R74" s="21">
        <f>((R70+R72+R79)/(1-0.1033))*5%</f>
        <v>136536.34227473589</v>
      </c>
      <c r="S74" s="21">
        <f>((S70+S72+S79)/(1-0.1033))*5%</f>
        <v>203.05314011726546</v>
      </c>
      <c r="T74" s="48">
        <f t="shared" si="37"/>
        <v>0.05</v>
      </c>
      <c r="U74" s="21">
        <f>((U70+U72+U79)/(1-0.1033))*5%</f>
        <v>0</v>
      </c>
      <c r="V74" s="21">
        <f>((V70+V72+V79)/(1-0.1033))*5%</f>
        <v>0</v>
      </c>
      <c r="W74" s="21">
        <f>((W70+W72+W79)/(1-0.1033))*5%</f>
        <v>383.8449990112984</v>
      </c>
      <c r="X74" s="48">
        <f t="shared" si="38"/>
        <v>0.05</v>
      </c>
      <c r="Y74" s="21">
        <f>((Y70+Y72+Y79)/(1-0.1033))*5%</f>
        <v>20343.784947598815</v>
      </c>
      <c r="Z74" s="21">
        <f>((Z70+Z72+Z79)/(1-0.1033))*5%</f>
        <v>569625.97853276681</v>
      </c>
      <c r="AA74" s="21">
        <f>((AA70+AA72+AA79)/(1-0.1033))*5%</f>
        <v>444.09705876006251</v>
      </c>
      <c r="AB74" s="48">
        <f t="shared" si="39"/>
        <v>0.05</v>
      </c>
      <c r="AC74" s="21">
        <f>((AC70+AC72+AC79)/(1-0.1033))*5%</f>
        <v>0</v>
      </c>
      <c r="AD74" s="21">
        <f>((AD70+AD72+AD79)/(1-0.1033))*5%</f>
        <v>0</v>
      </c>
      <c r="AE74" s="21">
        <f>((AE70+AE72+AE79)/(1-0.1033))*5%</f>
        <v>212.43174472215117</v>
      </c>
      <c r="AF74" s="48">
        <f t="shared" si="40"/>
        <v>4.9999999999999996E-2</v>
      </c>
      <c r="AG74" s="21">
        <f>((AG70+AG72+AG79)/(1-0.1033))*5%</f>
        <v>16569.676088327789</v>
      </c>
      <c r="AH74" s="21">
        <f>((AH70+AH72+AH79)/(1-0.1033))*5%</f>
        <v>463950.93047317816</v>
      </c>
      <c r="AI74" s="21">
        <f>((AI70+AI72+AI79)/(1-0.1033))*5%</f>
        <v>98479.516288544022</v>
      </c>
      <c r="AJ74" s="21">
        <f>AI74*28</f>
        <v>2757426.4560792325</v>
      </c>
      <c r="AK74" s="48">
        <f t="shared" si="41"/>
        <v>5.000000000000001E-2</v>
      </c>
    </row>
    <row r="75" spans="1:37" x14ac:dyDescent="0.3">
      <c r="A75" s="64"/>
      <c r="B75" s="69"/>
      <c r="C75" s="19" t="s">
        <v>168</v>
      </c>
      <c r="D75" s="20" t="s">
        <v>65</v>
      </c>
      <c r="E75" s="99" t="s">
        <v>196</v>
      </c>
      <c r="F75" s="100"/>
      <c r="G75" s="21">
        <f>((G70+G72+G79)/(1-0.1033))*0.15%</f>
        <v>4.0764093910734776</v>
      </c>
      <c r="H75" s="48">
        <f t="shared" si="34"/>
        <v>1.4999999999999998E-3</v>
      </c>
      <c r="I75" s="21">
        <f>((I70+I72+I79)/(1-0.1033))*0.15%</f>
        <v>0</v>
      </c>
      <c r="J75" s="21">
        <f>((J70+J72+J79)/(1-0.1033))*0.15%</f>
        <v>0</v>
      </c>
      <c r="K75" s="21">
        <f>((K70+K72+K79)/(1-0.1033))*0.15%</f>
        <v>6.9700521287992601</v>
      </c>
      <c r="L75" s="48">
        <f t="shared" si="35"/>
        <v>1.5E-3</v>
      </c>
      <c r="M75" s="21">
        <f>((M70+M72+M79)/(1-0.1033))*0.15%</f>
        <v>1700.6927194270195</v>
      </c>
      <c r="N75" s="21">
        <f>((N70+N72+N79)/(1-0.1033))*0.15%</f>
        <v>47619.396143956539</v>
      </c>
      <c r="O75" s="21">
        <f>((O70+O72+O79)/(1-0.1033))*0.15%</f>
        <v>5.4181088204260268</v>
      </c>
      <c r="P75" s="48">
        <f t="shared" si="36"/>
        <v>1.5E-3</v>
      </c>
      <c r="Q75" s="21">
        <f>((Q70+Q72+Q79)/(1-0.1033))*0.15%</f>
        <v>146.28893815150269</v>
      </c>
      <c r="R75" s="21">
        <f>((R70+R72+R79)/(1-0.1033))*0.15%</f>
        <v>4096.0902682420765</v>
      </c>
      <c r="S75" s="21">
        <f>((S70+S72+S79)/(1-0.1033))*0.15%</f>
        <v>6.0915942035179631</v>
      </c>
      <c r="T75" s="48">
        <f t="shared" si="37"/>
        <v>1.5E-3</v>
      </c>
      <c r="U75" s="21">
        <f>((U70+U72+U79)/(1-0.1033))*0.15%</f>
        <v>0</v>
      </c>
      <c r="V75" s="21">
        <f>((V70+V72+V79)/(1-0.1033))*0.15%</f>
        <v>0</v>
      </c>
      <c r="W75" s="21">
        <f>((W70+W72+W79)/(1-0.1033))*0.15%</f>
        <v>11.515349970338951</v>
      </c>
      <c r="X75" s="48">
        <f t="shared" si="38"/>
        <v>1.5E-3</v>
      </c>
      <c r="Y75" s="21">
        <f>((Y70+Y72+Y79)/(1-0.1033))*0.15%</f>
        <v>610.31354842796441</v>
      </c>
      <c r="Z75" s="21">
        <f>((Z70+Z72+Z79)/(1-0.1033))*0.15%</f>
        <v>17088.779355983006</v>
      </c>
      <c r="AA75" s="21">
        <f>((AA70+AA72+AA79)/(1-0.1033))*0.15%</f>
        <v>13.322911762801875</v>
      </c>
      <c r="AB75" s="48">
        <f t="shared" si="39"/>
        <v>1.5E-3</v>
      </c>
      <c r="AC75" s="21">
        <f>((AC70+AC72+AC79)/(1-0.1033))*0.15%</f>
        <v>0</v>
      </c>
      <c r="AD75" s="21">
        <f>((AD70+AD72+AD79)/(1-0.1033))*0.15%</f>
        <v>0</v>
      </c>
      <c r="AE75" s="21">
        <f>((AE70+AE72+AE79)/(1-0.1033))*0.15%</f>
        <v>6.3729523416645346</v>
      </c>
      <c r="AF75" s="48">
        <f t="shared" si="40"/>
        <v>1.4999999999999998E-3</v>
      </c>
      <c r="AG75" s="21">
        <f>((AG70+AG72+AG79)/(1-0.1033))*0.15%</f>
        <v>497.09028264983368</v>
      </c>
      <c r="AH75" s="21">
        <f>((AH70+AH72+AH79)/(1-0.1033))*0.15%</f>
        <v>13918.527914195345</v>
      </c>
      <c r="AI75" s="21">
        <f>((AI70+AI72+AI79)/(1-0.1033))*0.15%</f>
        <v>2954.3854886563204</v>
      </c>
      <c r="AJ75" s="21">
        <f t="shared" si="44"/>
        <v>82722.793682376971</v>
      </c>
      <c r="AK75" s="48">
        <f t="shared" si="41"/>
        <v>1.5000000000000002E-3</v>
      </c>
    </row>
    <row r="76" spans="1:37" x14ac:dyDescent="0.3">
      <c r="A76" s="64"/>
      <c r="B76" s="69"/>
      <c r="C76" s="19" t="s">
        <v>169</v>
      </c>
      <c r="D76" s="20" t="s">
        <v>197</v>
      </c>
      <c r="E76" s="99" t="s">
        <v>198</v>
      </c>
      <c r="F76" s="100"/>
      <c r="G76" s="21">
        <f>((G70+G72+G79)/(1-0.1033))*4.5%</f>
        <v>122.29228173220433</v>
      </c>
      <c r="H76" s="48">
        <f>G76/G81</f>
        <v>4.4999999999999998E-2</v>
      </c>
      <c r="I76" s="21">
        <f>((I70+I72+I79)/(1-0.1033))*4.5%</f>
        <v>0</v>
      </c>
      <c r="J76" s="21">
        <f>((J70+J72+J79)/(1-0.1033))*4.5%</f>
        <v>0</v>
      </c>
      <c r="K76" s="21">
        <f>((K70+K72+K79)/(1-0.1033))*4.5%</f>
        <v>209.10156386397779</v>
      </c>
      <c r="L76" s="48">
        <f>K76/K81</f>
        <v>4.4999999999999998E-2</v>
      </c>
      <c r="M76" s="21">
        <f>((M70+M72+M79)/(1-0.1033))*4.5%</f>
        <v>51020.781582810581</v>
      </c>
      <c r="N76" s="21">
        <f>((N70+N72+N79)/(1-0.1033))*4.5%</f>
        <v>1428581.8843186961</v>
      </c>
      <c r="O76" s="21">
        <f>((O70+O72+O79)/(1-0.1033))*4.5%</f>
        <v>162.5432646127808</v>
      </c>
      <c r="P76" s="48">
        <f>O76/O81</f>
        <v>4.4999999999999998E-2</v>
      </c>
      <c r="Q76" s="21">
        <f>((Q70+Q72+Q79)/(1-0.1033))*4.5%</f>
        <v>4388.6681445450804</v>
      </c>
      <c r="R76" s="21">
        <f>((R70+R72+R79)/(1-0.1033))*4.5%</f>
        <v>122882.70804726228</v>
      </c>
      <c r="S76" s="21">
        <f>((S70+S72+S79)/(1-0.1033))*4.5%</f>
        <v>182.74782610553888</v>
      </c>
      <c r="T76" s="48">
        <f>S76/S81</f>
        <v>4.4999999999999998E-2</v>
      </c>
      <c r="U76" s="21">
        <f>((U70+U72+U79)/(1-0.1033))*4.5%</f>
        <v>0</v>
      </c>
      <c r="V76" s="21">
        <f>((V70+V72+V79)/(1-0.1033))*4.5%</f>
        <v>0</v>
      </c>
      <c r="W76" s="21">
        <f>((W70+W72+W79)/(1-0.1033))*4.5%</f>
        <v>345.46049911016854</v>
      </c>
      <c r="X76" s="48">
        <f>W76/W81</f>
        <v>4.4999999999999998E-2</v>
      </c>
      <c r="Y76" s="21">
        <f>((Y70+Y72+Y79)/(1-0.1033))*4.5%</f>
        <v>18309.406452838932</v>
      </c>
      <c r="Z76" s="21">
        <f>((Z70+Z72+Z79)/(1-0.1033))*4.5%</f>
        <v>512663.3806794901</v>
      </c>
      <c r="AA76" s="21">
        <f>((AA70+AA72+AA79)/(1-0.1033))*4.5%</f>
        <v>399.68735288405622</v>
      </c>
      <c r="AB76" s="48">
        <f>AA76/AA81</f>
        <v>4.4999999999999998E-2</v>
      </c>
      <c r="AC76" s="21">
        <f>((AC70+AC72+AC79)/(1-0.1033))*4.5%</f>
        <v>0</v>
      </c>
      <c r="AD76" s="21">
        <f>((AD70+AD72+AD79)/(1-0.1033))*4.5%</f>
        <v>0</v>
      </c>
      <c r="AE76" s="21">
        <f>((AE70+AE72+AE79)/(1-0.1033))*4.5%</f>
        <v>191.18857024993602</v>
      </c>
      <c r="AF76" s="48">
        <f t="shared" ref="AF76:AF81" si="46">AE76/$AE$81</f>
        <v>4.4999999999999991E-2</v>
      </c>
      <c r="AG76" s="21">
        <f>((AG70+AG72+AG79)/(1-0.1033))*4.5%</f>
        <v>14912.70847949501</v>
      </c>
      <c r="AH76" s="21">
        <f>((AH70+AH72+AH79)/(1-0.1033))*4.5%</f>
        <v>417555.83742586034</v>
      </c>
      <c r="AI76" s="21">
        <f>((AI70+AI72+AI79)/(1-0.1033))*4.5%</f>
        <v>88631.564659689611</v>
      </c>
      <c r="AJ76" s="21">
        <f>AI76*28</f>
        <v>2481683.8104713093</v>
      </c>
      <c r="AK76" s="48">
        <f t="shared" si="41"/>
        <v>4.5000000000000012E-2</v>
      </c>
    </row>
    <row r="77" spans="1:37" x14ac:dyDescent="0.3">
      <c r="A77" s="64"/>
      <c r="B77" s="69"/>
      <c r="C77" s="22" t="s">
        <v>170</v>
      </c>
      <c r="D77" s="23" t="s">
        <v>7</v>
      </c>
      <c r="E77" s="101" t="s">
        <v>200</v>
      </c>
      <c r="F77" s="102"/>
      <c r="G77" s="24">
        <f>SUM(G73:G76)</f>
        <v>280.72872673192683</v>
      </c>
      <c r="H77" s="49">
        <f>G77/$G$81</f>
        <v>0.1033</v>
      </c>
      <c r="I77" s="24">
        <f>SUM(I73:I76)</f>
        <v>0</v>
      </c>
      <c r="J77" s="24">
        <f>SUM(J73:J76)</f>
        <v>0</v>
      </c>
      <c r="K77" s="24">
        <f>SUM(K73:K76)</f>
        <v>480.00425660330905</v>
      </c>
      <c r="L77" s="49">
        <f>K77/$K$81</f>
        <v>0.1033</v>
      </c>
      <c r="M77" s="24">
        <f>SUM(M73:M76)</f>
        <v>117121.0386112074</v>
      </c>
      <c r="N77" s="24">
        <f>SUM(N73:N76)</f>
        <v>3279389.0811138069</v>
      </c>
      <c r="O77" s="24">
        <f>SUM(O73:O76)</f>
        <v>373.12709410000571</v>
      </c>
      <c r="P77" s="49">
        <f>O77/$O$81</f>
        <v>0.10329999999999999</v>
      </c>
      <c r="Q77" s="24">
        <f>SUM(Q73:Q76)</f>
        <v>10074.431540700152</v>
      </c>
      <c r="R77" s="24">
        <f>SUM(R73:R76)</f>
        <v>282084.08313960431</v>
      </c>
      <c r="S77" s="24">
        <f>SUM(S73:S76)</f>
        <v>419.50778748227037</v>
      </c>
      <c r="T77" s="49">
        <f>S77/$S$81</f>
        <v>0.1033</v>
      </c>
      <c r="U77" s="24">
        <f>SUM(U73:U76)</f>
        <v>0</v>
      </c>
      <c r="V77" s="24">
        <f>SUM(V73:V76)</f>
        <v>0</v>
      </c>
      <c r="W77" s="24">
        <f>SUM(W73:W76)</f>
        <v>793.02376795734244</v>
      </c>
      <c r="X77" s="49">
        <f>W77/$W$81</f>
        <v>0.1033</v>
      </c>
      <c r="Y77" s="24">
        <f>SUM(Y73:Y76)</f>
        <v>42030.259701739153</v>
      </c>
      <c r="Z77" s="24">
        <f>SUM(Z73:Z76)</f>
        <v>1176847.2716486962</v>
      </c>
      <c r="AA77" s="24">
        <f>SUM(AA73:AA76)</f>
        <v>917.50452339828917</v>
      </c>
      <c r="AB77" s="49">
        <f>AA77/$AA$81</f>
        <v>0.10330000000000002</v>
      </c>
      <c r="AC77" s="24">
        <f>SUM(AC73:AC76)</f>
        <v>0</v>
      </c>
      <c r="AD77" s="24">
        <f>SUM(AD73:AD76)</f>
        <v>0</v>
      </c>
      <c r="AE77" s="24">
        <f>SUM(AE73:AE76)</f>
        <v>438.88398459596431</v>
      </c>
      <c r="AF77" s="49">
        <f t="shared" si="46"/>
        <v>0.10329999999999999</v>
      </c>
      <c r="AG77" s="24">
        <f>SUM(AG73:AG76)</f>
        <v>34232.95079848521</v>
      </c>
      <c r="AH77" s="24">
        <f>SUM(AH73:AH76)</f>
        <v>958522.62235758605</v>
      </c>
      <c r="AI77" s="24">
        <f>SUM(AI73:AI76)</f>
        <v>203458.68065213194</v>
      </c>
      <c r="AJ77" s="24">
        <f t="shared" si="44"/>
        <v>5696843.0582596939</v>
      </c>
      <c r="AK77" s="49">
        <f>AJ77/$AJ$81</f>
        <v>0.10330000000000002</v>
      </c>
    </row>
    <row r="78" spans="1:37" x14ac:dyDescent="0.3">
      <c r="A78" s="64"/>
      <c r="B78" s="69"/>
      <c r="C78" s="19" t="s">
        <v>171</v>
      </c>
      <c r="D78" s="20" t="s">
        <v>70</v>
      </c>
      <c r="E78" s="99" t="s">
        <v>204</v>
      </c>
      <c r="F78" s="100"/>
      <c r="G78" s="21">
        <f>(G70+G72)*1.5%</f>
        <v>36.012968482518104</v>
      </c>
      <c r="H78" s="48">
        <f>G78/$G$81</f>
        <v>1.3251724137931034E-2</v>
      </c>
      <c r="I78" s="21">
        <f>(I70+I72)*1.5%</f>
        <v>0</v>
      </c>
      <c r="J78" s="21">
        <f>(J70+J72)*1.5%</f>
        <v>0</v>
      </c>
      <c r="K78" s="21">
        <f>(K70+K72)*1.5%</f>
        <v>61.576805358564499</v>
      </c>
      <c r="L78" s="48">
        <f>K78/$K$81</f>
        <v>1.3251724137931034E-2</v>
      </c>
      <c r="M78" s="21">
        <f>(M70+M72)*1.5%</f>
        <v>15024.740507489736</v>
      </c>
      <c r="N78" s="21">
        <f>(N70+N72)*1.5%</f>
        <v>420692.73420971259</v>
      </c>
      <c r="O78" s="21">
        <f>(O70+O72)*1.55%</f>
        <v>49.437375203530799</v>
      </c>
      <c r="P78" s="48">
        <f>O78/$O$81</f>
        <v>1.3686706056129986E-2</v>
      </c>
      <c r="Q78" s="21">
        <f>(Q70+Q72)*1.55%</f>
        <v>1334.8091304953314</v>
      </c>
      <c r="R78" s="21">
        <f>(R70+R72)*1.55%</f>
        <v>37374.655653869282</v>
      </c>
      <c r="S78" s="21">
        <f t="shared" ref="S78:V78" si="47">(S70+S72)*1.98%</f>
        <v>70.702872420364926</v>
      </c>
      <c r="T78" s="48">
        <f>S78/$S$81</f>
        <v>1.7409943126103156E-2</v>
      </c>
      <c r="U78" s="21">
        <f t="shared" si="47"/>
        <v>0</v>
      </c>
      <c r="V78" s="21">
        <f t="shared" si="47"/>
        <v>0</v>
      </c>
      <c r="W78" s="21">
        <f>(W70+W72)*0.01%</f>
        <v>0.68831878934792778</v>
      </c>
      <c r="X78" s="48">
        <f>W78/$W$81</f>
        <v>8.9661033896610339E-5</v>
      </c>
      <c r="Y78" s="21">
        <f>(Y70+Y72)*0.01%</f>
        <v>36.480895835440172</v>
      </c>
      <c r="Z78" s="21">
        <f>(Z70+Z72)*0.01%</f>
        <v>1021.4650833923249</v>
      </c>
      <c r="AA78" s="21">
        <f>(AA70+AA72)*1.8%</f>
        <v>140.82500956036671</v>
      </c>
      <c r="AB78" s="48">
        <f>AA78/$AA$81</f>
        <v>1.5855206286836936E-2</v>
      </c>
      <c r="AC78" s="21">
        <f>(AC70+AC72)*1.8%</f>
        <v>0</v>
      </c>
      <c r="AD78" s="21">
        <f>(AD70+AD72)*1.8%</f>
        <v>0</v>
      </c>
      <c r="AE78" s="21">
        <f>(AE70+AE72)*2%</f>
        <v>74.700998232295277</v>
      </c>
      <c r="AF78" s="48">
        <f t="shared" si="46"/>
        <v>1.7582352941176469E-2</v>
      </c>
      <c r="AG78" s="21">
        <f>(AG70+AG72)*2%</f>
        <v>5826.6778621190306</v>
      </c>
      <c r="AH78" s="21">
        <f>(AH70+AH72)*2%</f>
        <v>163146.98013933288</v>
      </c>
      <c r="AI78" s="21">
        <f>AG78+AC78+Y78+U78+Q78+M78+I78</f>
        <v>22222.708395939539</v>
      </c>
      <c r="AJ78" s="21">
        <f t="shared" si="44"/>
        <v>622235.83508630702</v>
      </c>
      <c r="AK78" s="48">
        <f>AJ78/$AJ$81</f>
        <v>1.1282908991361829E-2</v>
      </c>
    </row>
    <row r="79" spans="1:37" x14ac:dyDescent="0.3">
      <c r="A79" s="65"/>
      <c r="B79" s="69"/>
      <c r="C79" s="19" t="s">
        <v>199</v>
      </c>
      <c r="D79" s="23" t="s">
        <v>7</v>
      </c>
      <c r="E79" s="101" t="s">
        <v>171</v>
      </c>
      <c r="F79" s="102"/>
      <c r="G79" s="24">
        <f t="shared" ref="G79:AH79" si="48">SUM(G78)</f>
        <v>36.012968482518104</v>
      </c>
      <c r="H79" s="49">
        <f>G79/$G$81</f>
        <v>1.3251724137931034E-2</v>
      </c>
      <c r="I79" s="24">
        <f t="shared" si="48"/>
        <v>0</v>
      </c>
      <c r="J79" s="24">
        <f t="shared" si="48"/>
        <v>0</v>
      </c>
      <c r="K79" s="24">
        <f t="shared" si="48"/>
        <v>61.576805358564499</v>
      </c>
      <c r="L79" s="49">
        <f>K79/$K$81</f>
        <v>1.3251724137931034E-2</v>
      </c>
      <c r="M79" s="24">
        <f t="shared" si="48"/>
        <v>15024.740507489736</v>
      </c>
      <c r="N79" s="24">
        <f t="shared" si="48"/>
        <v>420692.73420971259</v>
      </c>
      <c r="O79" s="24">
        <f t="shared" si="48"/>
        <v>49.437375203530799</v>
      </c>
      <c r="P79" s="49">
        <f>O79/$O$81</f>
        <v>1.3686706056129986E-2</v>
      </c>
      <c r="Q79" s="24">
        <f t="shared" si="48"/>
        <v>1334.8091304953314</v>
      </c>
      <c r="R79" s="24">
        <f t="shared" si="48"/>
        <v>37374.655653869282</v>
      </c>
      <c r="S79" s="24">
        <f t="shared" si="48"/>
        <v>70.702872420364926</v>
      </c>
      <c r="T79" s="49">
        <f>S79/$S$81</f>
        <v>1.7409943126103156E-2</v>
      </c>
      <c r="U79" s="24">
        <f t="shared" si="48"/>
        <v>0</v>
      </c>
      <c r="V79" s="24">
        <f t="shared" si="48"/>
        <v>0</v>
      </c>
      <c r="W79" s="24">
        <f t="shared" si="48"/>
        <v>0.68831878934792778</v>
      </c>
      <c r="X79" s="49">
        <f>W79/$W$81</f>
        <v>8.9661033896610339E-5</v>
      </c>
      <c r="Y79" s="24">
        <f t="shared" si="48"/>
        <v>36.480895835440172</v>
      </c>
      <c r="Z79" s="24">
        <f t="shared" si="48"/>
        <v>1021.4650833923249</v>
      </c>
      <c r="AA79" s="24">
        <f t="shared" si="48"/>
        <v>140.82500956036671</v>
      </c>
      <c r="AB79" s="49">
        <f>AA79/$AA$81</f>
        <v>1.5855206286836936E-2</v>
      </c>
      <c r="AC79" s="24">
        <f t="shared" si="48"/>
        <v>0</v>
      </c>
      <c r="AD79" s="24">
        <f t="shared" si="48"/>
        <v>0</v>
      </c>
      <c r="AE79" s="24">
        <f t="shared" si="48"/>
        <v>74.700998232295277</v>
      </c>
      <c r="AF79" s="49">
        <f t="shared" si="46"/>
        <v>1.7582352941176469E-2</v>
      </c>
      <c r="AG79" s="24">
        <f t="shared" si="48"/>
        <v>5826.6778621190306</v>
      </c>
      <c r="AH79" s="24">
        <f t="shared" si="48"/>
        <v>163146.98013933288</v>
      </c>
      <c r="AI79" s="24">
        <f>SUM(AI78)</f>
        <v>22222.708395939539</v>
      </c>
      <c r="AJ79" s="24">
        <f t="shared" si="44"/>
        <v>622235.83508630702</v>
      </c>
      <c r="AK79" s="49">
        <f>AJ79/$AJ$81</f>
        <v>1.1282908991361829E-2</v>
      </c>
    </row>
    <row r="80" spans="1:37" x14ac:dyDescent="0.3">
      <c r="A80" s="101" t="s">
        <v>96</v>
      </c>
      <c r="B80" s="112"/>
      <c r="C80" s="112"/>
      <c r="D80" s="112"/>
      <c r="E80" s="112"/>
      <c r="F80" s="102"/>
      <c r="G80" s="24">
        <f t="shared" ref="G80:AH80" si="49">G72+G77+G79</f>
        <v>335.79617589302592</v>
      </c>
      <c r="H80" s="49">
        <f>G80/$G$81</f>
        <v>0.12356321839080459</v>
      </c>
      <c r="I80" s="24">
        <f t="shared" si="49"/>
        <v>0</v>
      </c>
      <c r="J80" s="24">
        <f t="shared" si="49"/>
        <v>0</v>
      </c>
      <c r="K80" s="24">
        <f t="shared" si="49"/>
        <v>602.24786527080403</v>
      </c>
      <c r="L80" s="49">
        <f>K80/$K$81</f>
        <v>0.12960760998810938</v>
      </c>
      <c r="M80" s="24">
        <f t="shared" si="49"/>
        <v>146948.47912607618</v>
      </c>
      <c r="N80" s="24">
        <f t="shared" si="49"/>
        <v>4114557.4155301331</v>
      </c>
      <c r="O80" s="24">
        <f t="shared" si="49"/>
        <v>454.143757201033</v>
      </c>
      <c r="P80" s="49">
        <f>O80/$O$81</f>
        <v>0.12572941193676235</v>
      </c>
      <c r="Q80" s="24">
        <f t="shared" si="49"/>
        <v>12261.881444427891</v>
      </c>
      <c r="R80" s="24">
        <f t="shared" si="49"/>
        <v>343332.68044398096</v>
      </c>
      <c r="S80" s="24">
        <f t="shared" si="49"/>
        <v>562.62825503202032</v>
      </c>
      <c r="T80" s="49">
        <f>S80/$S$81</f>
        <v>0.13854212121691303</v>
      </c>
      <c r="U80" s="24">
        <f t="shared" si="49"/>
        <v>0</v>
      </c>
      <c r="V80" s="24">
        <f t="shared" si="49"/>
        <v>0</v>
      </c>
      <c r="W80" s="24">
        <f t="shared" si="49"/>
        <v>794.40033671104186</v>
      </c>
      <c r="X80" s="49">
        <f>W80/$W$81</f>
        <v>0.10347931310258635</v>
      </c>
      <c r="Y80" s="24">
        <f t="shared" si="49"/>
        <v>42103.21784568522</v>
      </c>
      <c r="Z80" s="24">
        <f t="shared" si="49"/>
        <v>1178890.099679186</v>
      </c>
      <c r="AA80" s="24">
        <f t="shared" si="49"/>
        <v>1135.7910343669985</v>
      </c>
      <c r="AB80" s="49">
        <f>AA80/$AA$81</f>
        <v>0.12787644186815542</v>
      </c>
      <c r="AC80" s="24">
        <f t="shared" si="49"/>
        <v>0</v>
      </c>
      <c r="AD80" s="24">
        <f t="shared" si="49"/>
        <v>0</v>
      </c>
      <c r="AE80" s="24">
        <f t="shared" si="49"/>
        <v>550.56567502246514</v>
      </c>
      <c r="AF80" s="49">
        <f t="shared" si="46"/>
        <v>0.12958648806057074</v>
      </c>
      <c r="AG80" s="24">
        <f t="shared" si="49"/>
        <v>42944.122651752274</v>
      </c>
      <c r="AH80" s="24">
        <f t="shared" si="49"/>
        <v>1202435.434249064</v>
      </c>
      <c r="AI80" s="24">
        <f>AI72+AI77+AI79</f>
        <v>244257.70106794161</v>
      </c>
      <c r="AJ80" s="24">
        <f t="shared" si="44"/>
        <v>6839215.6299023647</v>
      </c>
      <c r="AK80" s="49">
        <f>AJ80/$AJ$81</f>
        <v>0.12401447035557576</v>
      </c>
    </row>
    <row r="81" spans="1:37" ht="15.9" customHeight="1" x14ac:dyDescent="0.3">
      <c r="A81" s="109" t="s">
        <v>71</v>
      </c>
      <c r="B81" s="110"/>
      <c r="C81" s="110"/>
      <c r="D81" s="110"/>
      <c r="E81" s="110"/>
      <c r="F81" s="111"/>
      <c r="G81" s="25">
        <f t="shared" ref="G81:AE81" si="50">G70+G80</f>
        <v>2717.6062607156518</v>
      </c>
      <c r="H81" s="52">
        <f>G81/$G$81</f>
        <v>1</v>
      </c>
      <c r="I81" s="25">
        <f t="shared" si="50"/>
        <v>0</v>
      </c>
      <c r="J81" s="25">
        <f t="shared" si="50"/>
        <v>0</v>
      </c>
      <c r="K81" s="25">
        <f t="shared" si="50"/>
        <v>4646.7014191995067</v>
      </c>
      <c r="L81" s="52">
        <f>K81/$K$81</f>
        <v>1</v>
      </c>
      <c r="M81" s="25">
        <f t="shared" si="50"/>
        <v>1133795.1462846796</v>
      </c>
      <c r="N81" s="25">
        <f t="shared" si="50"/>
        <v>31746264.095971029</v>
      </c>
      <c r="O81" s="25">
        <f t="shared" si="50"/>
        <v>3612.0725469506847</v>
      </c>
      <c r="P81" s="52">
        <f>O81/$O$81</f>
        <v>1</v>
      </c>
      <c r="Q81" s="25">
        <f>O81*O4</f>
        <v>97525.95876766849</v>
      </c>
      <c r="R81" s="25">
        <f t="shared" si="50"/>
        <v>2730726.8454947174</v>
      </c>
      <c r="S81" s="25">
        <f t="shared" si="50"/>
        <v>4061.0628023453087</v>
      </c>
      <c r="T81" s="52">
        <f>S81/$S$81</f>
        <v>1</v>
      </c>
      <c r="U81" s="25">
        <f t="shared" si="50"/>
        <v>0</v>
      </c>
      <c r="V81" s="25">
        <f t="shared" si="50"/>
        <v>0</v>
      </c>
      <c r="W81" s="25">
        <f t="shared" si="50"/>
        <v>7676.8999802259677</v>
      </c>
      <c r="X81" s="52">
        <f>W81/$W$81</f>
        <v>1</v>
      </c>
      <c r="Y81" s="25">
        <f t="shared" si="50"/>
        <v>406875.69895197626</v>
      </c>
      <c r="Z81" s="25">
        <f t="shared" si="50"/>
        <v>11392519.570655338</v>
      </c>
      <c r="AA81" s="25">
        <f t="shared" si="50"/>
        <v>8881.9411752012493</v>
      </c>
      <c r="AB81" s="52">
        <f>AA81/$AA$81</f>
        <v>1</v>
      </c>
      <c r="AC81" s="25">
        <f t="shared" si="50"/>
        <v>0</v>
      </c>
      <c r="AD81" s="25">
        <f t="shared" si="50"/>
        <v>0</v>
      </c>
      <c r="AE81" s="25">
        <f t="shared" si="50"/>
        <v>4248.6348944430238</v>
      </c>
      <c r="AF81" s="52">
        <f t="shared" si="46"/>
        <v>1</v>
      </c>
      <c r="AG81" s="25">
        <f>AE81*AE4</f>
        <v>331393.52176655584</v>
      </c>
      <c r="AH81" s="25">
        <f>AH70+AH80</f>
        <v>9279018.6094635632</v>
      </c>
      <c r="AI81" s="25">
        <f>AG81+Y81+Q81+M81</f>
        <v>1969590.3257708801</v>
      </c>
      <c r="AJ81" s="25">
        <f t="shared" si="44"/>
        <v>55148529.121584639</v>
      </c>
      <c r="AK81" s="49">
        <f>AJ81/$AJ$81</f>
        <v>1</v>
      </c>
    </row>
    <row r="83" spans="1:37" ht="26.25" customHeight="1" x14ac:dyDescent="0.3">
      <c r="A83" s="62" t="s">
        <v>189</v>
      </c>
      <c r="B83" s="62"/>
      <c r="C83" s="62"/>
      <c r="D83" s="62"/>
      <c r="E83" s="62"/>
      <c r="F83" s="62"/>
      <c r="G83" s="62"/>
      <c r="H83" s="62"/>
      <c r="I83" s="62"/>
      <c r="J83" s="62"/>
      <c r="K83" s="62"/>
      <c r="M83" s="3"/>
      <c r="N83" s="3"/>
      <c r="O83" s="3"/>
      <c r="Q83" s="3"/>
      <c r="R83" s="3"/>
      <c r="S83" s="3"/>
      <c r="U83" s="3"/>
      <c r="V83" s="3"/>
      <c r="W83" s="3"/>
      <c r="Y83" s="3"/>
      <c r="Z83" s="3"/>
      <c r="AA83" s="3"/>
      <c r="AC83" s="3"/>
      <c r="AD83" s="3"/>
      <c r="AE83" s="3"/>
      <c r="AG83" s="3"/>
      <c r="AH83" s="3"/>
    </row>
    <row r="84" spans="1:37" x14ac:dyDescent="0.3">
      <c r="G84" s="26"/>
    </row>
    <row r="85" spans="1:37" x14ac:dyDescent="0.3">
      <c r="A85" s="62" t="s">
        <v>190</v>
      </c>
      <c r="B85" s="62"/>
      <c r="C85" s="62"/>
      <c r="D85" s="62"/>
      <c r="E85" s="62"/>
      <c r="F85" s="62"/>
      <c r="G85" s="62"/>
      <c r="H85" s="62"/>
      <c r="I85" s="62"/>
      <c r="J85" s="62"/>
      <c r="K85" s="62"/>
    </row>
    <row r="86" spans="1:37" ht="15" customHeight="1" x14ac:dyDescent="0.3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</row>
    <row r="87" spans="1:37" ht="15" customHeight="1" x14ac:dyDescent="0.3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</row>
    <row r="88" spans="1:37" ht="15" customHeight="1" x14ac:dyDescent="0.3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</row>
    <row r="89" spans="1:37" ht="15" customHeight="1" x14ac:dyDescent="0.3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</row>
    <row r="90" spans="1:37" ht="15" customHeight="1" x14ac:dyDescent="0.3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</row>
    <row r="91" spans="1:37" ht="101.25" customHeight="1" x14ac:dyDescent="0.3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</row>
    <row r="92" spans="1:37" ht="15" x14ac:dyDescent="0.25">
      <c r="A92" s="58"/>
    </row>
    <row r="93" spans="1:37" ht="15" x14ac:dyDescent="0.25">
      <c r="A93" s="58"/>
    </row>
  </sheetData>
  <mergeCells count="135">
    <mergeCell ref="AK3:AK5"/>
    <mergeCell ref="AI2:AK2"/>
    <mergeCell ref="A1:AK1"/>
    <mergeCell ref="E71:F71"/>
    <mergeCell ref="AC4:AD4"/>
    <mergeCell ref="AE4:AF4"/>
    <mergeCell ref="B2:B5"/>
    <mergeCell ref="C2:C5"/>
    <mergeCell ref="B55:B67"/>
    <mergeCell ref="B71:B79"/>
    <mergeCell ref="E72:F72"/>
    <mergeCell ref="E79:F79"/>
    <mergeCell ref="B68:B69"/>
    <mergeCell ref="G2:J2"/>
    <mergeCell ref="K2:N2"/>
    <mergeCell ref="E68:F68"/>
    <mergeCell ref="E15:F15"/>
    <mergeCell ref="E16:F16"/>
    <mergeCell ref="E17:F17"/>
    <mergeCell ref="E18:F18"/>
    <mergeCell ref="E20:F20"/>
    <mergeCell ref="E21:F21"/>
    <mergeCell ref="E22:F22"/>
    <mergeCell ref="E23:F23"/>
    <mergeCell ref="A81:F81"/>
    <mergeCell ref="A70:F70"/>
    <mergeCell ref="D2:D5"/>
    <mergeCell ref="B16:B21"/>
    <mergeCell ref="S3:T3"/>
    <mergeCell ref="O4:P4"/>
    <mergeCell ref="Q3:R3"/>
    <mergeCell ref="Q4:R4"/>
    <mergeCell ref="S4:T4"/>
    <mergeCell ref="E30:F30"/>
    <mergeCell ref="E41:F41"/>
    <mergeCell ref="E31:F31"/>
    <mergeCell ref="E32:F32"/>
    <mergeCell ref="E33:F33"/>
    <mergeCell ref="E34:F34"/>
    <mergeCell ref="A2:A5"/>
    <mergeCell ref="B6:B15"/>
    <mergeCell ref="A6:A21"/>
    <mergeCell ref="B22:B31"/>
    <mergeCell ref="G4:H4"/>
    <mergeCell ref="K4:L4"/>
    <mergeCell ref="M3:N3"/>
    <mergeCell ref="M4:N4"/>
    <mergeCell ref="A80:F80"/>
    <mergeCell ref="B42:B54"/>
    <mergeCell ref="E46:F46"/>
    <mergeCell ref="E47:F47"/>
    <mergeCell ref="E73:F73"/>
    <mergeCell ref="E74:F74"/>
    <mergeCell ref="E75:F75"/>
    <mergeCell ref="E77:F77"/>
    <mergeCell ref="E78:F78"/>
    <mergeCell ref="E29:F29"/>
    <mergeCell ref="E42:F42"/>
    <mergeCell ref="E43:F43"/>
    <mergeCell ref="E44:F44"/>
    <mergeCell ref="E45:F45"/>
    <mergeCell ref="E55:F55"/>
    <mergeCell ref="E66:F66"/>
    <mergeCell ref="E51:F51"/>
    <mergeCell ref="E60:F60"/>
    <mergeCell ref="E61:F61"/>
    <mergeCell ref="E62:F62"/>
    <mergeCell ref="E63:F63"/>
    <mergeCell ref="E49:F49"/>
    <mergeCell ref="E50:F50"/>
    <mergeCell ref="E76:F76"/>
    <mergeCell ref="O3:P3"/>
    <mergeCell ref="U3:V3"/>
    <mergeCell ref="U4:V4"/>
    <mergeCell ref="I3:J3"/>
    <mergeCell ref="I4:J4"/>
    <mergeCell ref="AE2:AH2"/>
    <mergeCell ref="AA2:AD2"/>
    <mergeCell ref="W3:X3"/>
    <mergeCell ref="AA3:AB3"/>
    <mergeCell ref="AE3:AF3"/>
    <mergeCell ref="W4:X4"/>
    <mergeCell ref="Y3:Z3"/>
    <mergeCell ref="Y4:Z4"/>
    <mergeCell ref="AA4:AB4"/>
    <mergeCell ref="AC3:AD3"/>
    <mergeCell ref="W2:Z2"/>
    <mergeCell ref="AI3:AJ3"/>
    <mergeCell ref="AI4:AJ4"/>
    <mergeCell ref="E9:F9"/>
    <mergeCell ref="E10:F10"/>
    <mergeCell ref="E11:F11"/>
    <mergeCell ref="E12:F12"/>
    <mergeCell ref="E48:F48"/>
    <mergeCell ref="AG3:AH3"/>
    <mergeCell ref="AG4:AH4"/>
    <mergeCell ref="E19:F19"/>
    <mergeCell ref="E7:F7"/>
    <mergeCell ref="E8:F8"/>
    <mergeCell ref="E13:F13"/>
    <mergeCell ref="E14:F14"/>
    <mergeCell ref="E39:F39"/>
    <mergeCell ref="E24:F24"/>
    <mergeCell ref="E37:F37"/>
    <mergeCell ref="E38:F38"/>
    <mergeCell ref="E2:F5"/>
    <mergeCell ref="E6:F6"/>
    <mergeCell ref="O2:R2"/>
    <mergeCell ref="S2:V2"/>
    <mergeCell ref="G3:H3"/>
    <mergeCell ref="K3:L3"/>
    <mergeCell ref="A85:K91"/>
    <mergeCell ref="A83:K83"/>
    <mergeCell ref="A71:A79"/>
    <mergeCell ref="A22:A67"/>
    <mergeCell ref="A68:A69"/>
    <mergeCell ref="E56:F56"/>
    <mergeCell ref="E57:F57"/>
    <mergeCell ref="E58:F58"/>
    <mergeCell ref="E59:F59"/>
    <mergeCell ref="E64:F64"/>
    <mergeCell ref="E65:F65"/>
    <mergeCell ref="E67:F67"/>
    <mergeCell ref="E69:F69"/>
    <mergeCell ref="E52:F52"/>
    <mergeCell ref="E53:F53"/>
    <mergeCell ref="E54:F54"/>
    <mergeCell ref="E40:F40"/>
    <mergeCell ref="B32:B41"/>
    <mergeCell ref="E25:F25"/>
    <mergeCell ref="E26:F26"/>
    <mergeCell ref="E27:F27"/>
    <mergeCell ref="E28:F28"/>
    <mergeCell ref="E35:F35"/>
    <mergeCell ref="E36:F3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17 K17 O17 S17 W17 AA17 AE17 AI6:AI46 H70:AF70 AI48:AI58 AI60:AI69 H74 H73 L73 H79:AF80 H75 L75 P73 P75 T73 T75 X73 X75 AB73 AB75 AF73 AF75:AF76 H76 L74 H77 L77 L76 P77 P74 P76 T74 T77 T76 X74 X77 X76 AB74 AB77 AB76 AF74 AF77 J77 H72:AF72 H71 L71 H78 L78 P71 P78 X71 AB71 AB78 AF71 AF78 S71:V71 S78:V78 H81:P81 R81:AF81 X78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11"/>
  <sheetViews>
    <sheetView tabSelected="1" topLeftCell="P1" zoomScaleNormal="100" workbookViewId="0">
      <selection activeCell="S48" sqref="S48"/>
    </sheetView>
  </sheetViews>
  <sheetFormatPr defaultColWidth="10.8984375" defaultRowHeight="7.8" x14ac:dyDescent="0.15"/>
  <cols>
    <col min="1" max="1" width="3.3984375" style="29" customWidth="1"/>
    <col min="2" max="2" width="4" style="29" customWidth="1"/>
    <col min="3" max="3" width="5.5" style="29" customWidth="1"/>
    <col min="4" max="4" width="3.3984375" style="41" customWidth="1"/>
    <col min="5" max="5" width="5.296875" style="43" customWidth="1"/>
    <col min="6" max="6" width="8.59765625" style="29" customWidth="1"/>
    <col min="7" max="7" width="11.19921875" style="29" customWidth="1"/>
    <col min="8" max="8" width="4.8984375" style="37" customWidth="1"/>
    <col min="9" max="9" width="3.3984375" style="41" customWidth="1"/>
    <col min="10" max="10" width="5.5" style="43" customWidth="1"/>
    <col min="11" max="11" width="10.5" style="29" customWidth="1"/>
    <col min="12" max="12" width="10.3984375" style="29" customWidth="1"/>
    <col min="13" max="13" width="4.8984375" style="37" customWidth="1"/>
    <col min="14" max="14" width="3.3984375" style="41" customWidth="1"/>
    <col min="15" max="15" width="5.8984375" style="43" bestFit="1" customWidth="1"/>
    <col min="16" max="16" width="7.3984375" style="29" customWidth="1"/>
    <col min="17" max="17" width="9.59765625" style="29" customWidth="1"/>
    <col min="18" max="18" width="4.8984375" style="37" customWidth="1"/>
    <col min="19" max="19" width="3.3984375" style="41" customWidth="1"/>
    <col min="20" max="20" width="5.5" style="43" customWidth="1"/>
    <col min="21" max="21" width="7.3984375" style="29" customWidth="1"/>
    <col min="22" max="22" width="8" style="29" customWidth="1"/>
    <col min="23" max="23" width="4.8984375" style="37" customWidth="1"/>
    <col min="24" max="24" width="3.3984375" style="41" customWidth="1"/>
    <col min="25" max="25" width="5.5" style="29" customWidth="1"/>
    <col min="26" max="26" width="7.3984375" style="29" customWidth="1"/>
    <col min="27" max="27" width="9.8984375" style="29" customWidth="1"/>
    <col min="28" max="28" width="4.8984375" style="37" customWidth="1"/>
    <col min="29" max="29" width="3.3984375" style="41" customWidth="1"/>
    <col min="30" max="30" width="5.5" style="29" customWidth="1"/>
    <col min="31" max="31" width="7.3984375" style="29" customWidth="1"/>
    <col min="32" max="32" width="11" style="29" customWidth="1"/>
    <col min="33" max="33" width="4.8984375" style="37" customWidth="1"/>
    <col min="34" max="34" width="3.3984375" style="41" customWidth="1"/>
    <col min="35" max="35" width="5.5" style="29" customWidth="1"/>
    <col min="36" max="36" width="9.5" style="29" customWidth="1"/>
    <col min="37" max="37" width="9.296875" style="29" customWidth="1"/>
    <col min="38" max="38" width="4.8984375" style="37" customWidth="1"/>
    <col min="39" max="39" width="4.69921875" style="41" customWidth="1"/>
    <col min="40" max="40" width="9.796875" style="36" customWidth="1"/>
    <col min="41" max="41" width="13" style="36" customWidth="1"/>
    <col min="42" max="42" width="11.296875" style="36" customWidth="1"/>
    <col min="43" max="16384" width="10.8984375" style="29"/>
  </cols>
  <sheetData>
    <row r="1" spans="1:42" ht="11.1" customHeight="1" x14ac:dyDescent="0.15">
      <c r="A1" s="118" t="s">
        <v>97</v>
      </c>
      <c r="B1" s="124" t="s">
        <v>177</v>
      </c>
      <c r="C1" s="118" t="s">
        <v>175</v>
      </c>
      <c r="D1" s="121" t="s">
        <v>99</v>
      </c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 t="s">
        <v>54</v>
      </c>
      <c r="AN1" s="121"/>
      <c r="AO1" s="121"/>
      <c r="AP1" s="121"/>
    </row>
    <row r="2" spans="1:42" ht="11.1" customHeight="1" x14ac:dyDescent="0.15">
      <c r="A2" s="118"/>
      <c r="B2" s="125"/>
      <c r="C2" s="118"/>
      <c r="D2" s="120" t="s">
        <v>36</v>
      </c>
      <c r="E2" s="120"/>
      <c r="F2" s="120"/>
      <c r="G2" s="120"/>
      <c r="H2" s="120"/>
      <c r="I2" s="120" t="s">
        <v>37</v>
      </c>
      <c r="J2" s="120"/>
      <c r="K2" s="120"/>
      <c r="L2" s="120"/>
      <c r="M2" s="120"/>
      <c r="N2" s="120" t="s">
        <v>38</v>
      </c>
      <c r="O2" s="120"/>
      <c r="P2" s="120"/>
      <c r="Q2" s="120"/>
      <c r="R2" s="120"/>
      <c r="S2" s="120" t="s">
        <v>39</v>
      </c>
      <c r="T2" s="120"/>
      <c r="U2" s="120"/>
      <c r="V2" s="120"/>
      <c r="W2" s="120"/>
      <c r="X2" s="120" t="s">
        <v>40</v>
      </c>
      <c r="Y2" s="120"/>
      <c r="Z2" s="120"/>
      <c r="AA2" s="120"/>
      <c r="AB2" s="120"/>
      <c r="AC2" s="120" t="s">
        <v>41</v>
      </c>
      <c r="AD2" s="120"/>
      <c r="AE2" s="120"/>
      <c r="AF2" s="120"/>
      <c r="AG2" s="120"/>
      <c r="AH2" s="120" t="s">
        <v>42</v>
      </c>
      <c r="AI2" s="120"/>
      <c r="AJ2" s="120"/>
      <c r="AK2" s="120"/>
      <c r="AL2" s="120"/>
      <c r="AM2" s="130" t="s">
        <v>113</v>
      </c>
      <c r="AN2" s="131" t="s">
        <v>111</v>
      </c>
      <c r="AO2" s="131"/>
      <c r="AP2" s="131"/>
    </row>
    <row r="3" spans="1:42" ht="41.1" customHeight="1" x14ac:dyDescent="0.15">
      <c r="A3" s="118"/>
      <c r="B3" s="126"/>
      <c r="C3" s="118"/>
      <c r="D3" s="56" t="s">
        <v>113</v>
      </c>
      <c r="E3" s="55" t="s">
        <v>176</v>
      </c>
      <c r="F3" s="55" t="s">
        <v>180</v>
      </c>
      <c r="G3" s="55" t="s">
        <v>181</v>
      </c>
      <c r="H3" s="40" t="s">
        <v>98</v>
      </c>
      <c r="I3" s="56" t="s">
        <v>113</v>
      </c>
      <c r="J3" s="55" t="s">
        <v>176</v>
      </c>
      <c r="K3" s="55" t="s">
        <v>180</v>
      </c>
      <c r="L3" s="55" t="s">
        <v>181</v>
      </c>
      <c r="M3" s="40" t="s">
        <v>98</v>
      </c>
      <c r="N3" s="56" t="s">
        <v>113</v>
      </c>
      <c r="O3" s="55" t="s">
        <v>176</v>
      </c>
      <c r="P3" s="55" t="s">
        <v>180</v>
      </c>
      <c r="Q3" s="55" t="s">
        <v>181</v>
      </c>
      <c r="R3" s="40" t="s">
        <v>98</v>
      </c>
      <c r="S3" s="56" t="s">
        <v>113</v>
      </c>
      <c r="T3" s="42" t="s">
        <v>176</v>
      </c>
      <c r="U3" s="55" t="s">
        <v>180</v>
      </c>
      <c r="V3" s="55" t="s">
        <v>181</v>
      </c>
      <c r="W3" s="40" t="s">
        <v>98</v>
      </c>
      <c r="X3" s="56" t="s">
        <v>113</v>
      </c>
      <c r="Y3" s="55" t="s">
        <v>176</v>
      </c>
      <c r="Z3" s="55" t="s">
        <v>180</v>
      </c>
      <c r="AA3" s="55" t="s">
        <v>181</v>
      </c>
      <c r="AB3" s="40" t="s">
        <v>98</v>
      </c>
      <c r="AC3" s="56" t="s">
        <v>113</v>
      </c>
      <c r="AD3" s="55" t="s">
        <v>176</v>
      </c>
      <c r="AE3" s="55" t="s">
        <v>180</v>
      </c>
      <c r="AF3" s="55" t="s">
        <v>181</v>
      </c>
      <c r="AG3" s="40" t="s">
        <v>98</v>
      </c>
      <c r="AH3" s="56" t="s">
        <v>113</v>
      </c>
      <c r="AI3" s="55" t="s">
        <v>176</v>
      </c>
      <c r="AJ3" s="55" t="s">
        <v>180</v>
      </c>
      <c r="AK3" s="55" t="s">
        <v>181</v>
      </c>
      <c r="AL3" s="40" t="s">
        <v>98</v>
      </c>
      <c r="AM3" s="130"/>
      <c r="AN3" s="57" t="s">
        <v>84</v>
      </c>
      <c r="AO3" s="39" t="s">
        <v>178</v>
      </c>
      <c r="AP3" s="39" t="s">
        <v>179</v>
      </c>
    </row>
    <row r="4" spans="1:42" ht="11.1" customHeight="1" x14ac:dyDescent="0.15">
      <c r="A4" s="119">
        <v>9</v>
      </c>
      <c r="B4" s="127" t="s">
        <v>182</v>
      </c>
      <c r="C4" s="54" t="s">
        <v>205</v>
      </c>
      <c r="D4" s="30">
        <v>0</v>
      </c>
      <c r="E4" s="61">
        <f>'Precificação Total Lote 9'!G81</f>
        <v>2717.6062607156518</v>
      </c>
      <c r="F4" s="61">
        <f>E4*D4</f>
        <v>0</v>
      </c>
      <c r="G4" s="61">
        <f>F4*28</f>
        <v>0</v>
      </c>
      <c r="H4" s="31"/>
      <c r="I4" s="30">
        <v>244</v>
      </c>
      <c r="J4" s="122">
        <f>'Precificação Total Lote 9'!K$81</f>
        <v>4646.7014191995067</v>
      </c>
      <c r="K4" s="53">
        <f>I4*$J$4</f>
        <v>1133795.1462846796</v>
      </c>
      <c r="L4" s="53">
        <f t="shared" ref="L4:L5" si="0">K4*28</f>
        <v>31746264.095971029</v>
      </c>
      <c r="M4" s="32">
        <v>44378</v>
      </c>
      <c r="N4" s="30">
        <v>24</v>
      </c>
      <c r="O4" s="122">
        <f>'Precificação Total Lote 9'!O$81</f>
        <v>3612.0725469506847</v>
      </c>
      <c r="P4" s="53">
        <f>N4*$O$4</f>
        <v>86689.741126816429</v>
      </c>
      <c r="Q4" s="53">
        <f t="shared" ref="Q4:Q5" si="1">P4*28</f>
        <v>2427312.7515508598</v>
      </c>
      <c r="R4" s="31">
        <v>44202</v>
      </c>
      <c r="S4" s="30">
        <v>0</v>
      </c>
      <c r="T4" s="122">
        <f>'Precificação Total Lote 9'!S$81</f>
        <v>4061.0628023453087</v>
      </c>
      <c r="U4" s="53">
        <f>S4*$T$4</f>
        <v>0</v>
      </c>
      <c r="V4" s="53">
        <f t="shared" ref="V4:V5" si="2">U4*28</f>
        <v>0</v>
      </c>
      <c r="W4" s="32" t="s">
        <v>112</v>
      </c>
      <c r="X4" s="30">
        <v>50</v>
      </c>
      <c r="Y4" s="122">
        <f>'Precificação Total Lote 9'!W81</f>
        <v>7676.8999802259677</v>
      </c>
      <c r="Z4" s="53">
        <f>Y4*X4</f>
        <v>383844.99901129841</v>
      </c>
      <c r="AA4" s="53">
        <f>Z4*28</f>
        <v>10747659.972316355</v>
      </c>
      <c r="AB4" s="31">
        <v>44202</v>
      </c>
      <c r="AC4" s="30">
        <v>0</v>
      </c>
      <c r="AD4" s="122">
        <f>'Precificação Total Lote 9'!AA$81</f>
        <v>8881.9411752012493</v>
      </c>
      <c r="AE4" s="53">
        <f>AC4*$AD$4</f>
        <v>0</v>
      </c>
      <c r="AF4" s="53">
        <f t="shared" ref="AF4:AF5" si="3">AE4*28</f>
        <v>0</v>
      </c>
      <c r="AG4" s="31"/>
      <c r="AH4" s="30">
        <v>67</v>
      </c>
      <c r="AI4" s="122">
        <f>'Precificação Total Lote 9'!AE$81</f>
        <v>4248.6348944430238</v>
      </c>
      <c r="AJ4" s="53">
        <f>AH4*$AI$4</f>
        <v>284658.53792768257</v>
      </c>
      <c r="AK4" s="53">
        <f t="shared" ref="AK4:AK5" si="4">AJ4*28</f>
        <v>7970439.0619751122</v>
      </c>
      <c r="AL4" s="31">
        <v>44202</v>
      </c>
      <c r="AM4" s="30">
        <f t="shared" ref="AM4:AM5" si="5">D4+I4+N4+S4+X4+AC4+AH4</f>
        <v>385</v>
      </c>
      <c r="AN4" s="33">
        <f>AJ4+AE4+Z4+U4+P4+K4+F4</f>
        <v>1888988.4243504771</v>
      </c>
      <c r="AO4" s="33">
        <f t="shared" ref="AO4:AO5" si="6">AN4*12</f>
        <v>22667861.092205726</v>
      </c>
      <c r="AP4" s="33">
        <f>AN4*28</f>
        <v>52891675.881813355</v>
      </c>
    </row>
    <row r="5" spans="1:42" ht="11.1" customHeight="1" x14ac:dyDescent="0.15">
      <c r="A5" s="119"/>
      <c r="B5" s="128"/>
      <c r="C5" s="54" t="s">
        <v>206</v>
      </c>
      <c r="D5" s="30">
        <v>0</v>
      </c>
      <c r="E5" s="61"/>
      <c r="F5" s="61">
        <f>E4*D5</f>
        <v>0</v>
      </c>
      <c r="G5" s="61">
        <f>F5*28</f>
        <v>0</v>
      </c>
      <c r="H5" s="31"/>
      <c r="I5" s="30">
        <v>0</v>
      </c>
      <c r="J5" s="123"/>
      <c r="K5" s="53">
        <f>I5*$J$4</f>
        <v>0</v>
      </c>
      <c r="L5" s="53">
        <f t="shared" si="0"/>
        <v>0</v>
      </c>
      <c r="M5" s="32" t="s">
        <v>112</v>
      </c>
      <c r="N5" s="30">
        <v>3</v>
      </c>
      <c r="O5" s="123"/>
      <c r="P5" s="53">
        <f>N5*$O$4</f>
        <v>10836.217640852054</v>
      </c>
      <c r="Q5" s="53">
        <f t="shared" si="1"/>
        <v>303414.09394385747</v>
      </c>
      <c r="R5" s="32">
        <v>44202</v>
      </c>
      <c r="S5" s="30">
        <v>0</v>
      </c>
      <c r="T5" s="123"/>
      <c r="U5" s="53">
        <f>S5*$T$4</f>
        <v>0</v>
      </c>
      <c r="V5" s="53">
        <f t="shared" si="2"/>
        <v>0</v>
      </c>
      <c r="W5" s="32" t="s">
        <v>112</v>
      </c>
      <c r="X5" s="30">
        <v>3</v>
      </c>
      <c r="Y5" s="123"/>
      <c r="Z5" s="53">
        <f>X5*$Y$4</f>
        <v>23030.699940677903</v>
      </c>
      <c r="AA5" s="53">
        <f t="shared" ref="AA5" si="7">Z5*28</f>
        <v>644859.59833898128</v>
      </c>
      <c r="AB5" s="32">
        <v>44202</v>
      </c>
      <c r="AC5" s="30">
        <v>0</v>
      </c>
      <c r="AD5" s="123"/>
      <c r="AE5" s="53">
        <f>AC5*$AD$4</f>
        <v>0</v>
      </c>
      <c r="AF5" s="53">
        <f t="shared" si="3"/>
        <v>0</v>
      </c>
      <c r="AG5" s="32" t="s">
        <v>112</v>
      </c>
      <c r="AH5" s="30">
        <v>11</v>
      </c>
      <c r="AI5" s="123"/>
      <c r="AJ5" s="53">
        <f>AH5*$AI$4</f>
        <v>46734.983838873261</v>
      </c>
      <c r="AK5" s="53">
        <f t="shared" si="4"/>
        <v>1308579.5474884512</v>
      </c>
      <c r="AL5" s="32">
        <v>44202</v>
      </c>
      <c r="AM5" s="30">
        <f t="shared" si="5"/>
        <v>17</v>
      </c>
      <c r="AN5" s="33">
        <f>AJ5+Z5+P5</f>
        <v>80601.901420403214</v>
      </c>
      <c r="AO5" s="33">
        <f t="shared" si="6"/>
        <v>967222.81704483856</v>
      </c>
      <c r="AP5" s="33">
        <f>ROUND((AN5*28),3)</f>
        <v>2256853.2400000002</v>
      </c>
    </row>
    <row r="6" spans="1:42" ht="11.1" customHeight="1" x14ac:dyDescent="0.15">
      <c r="A6" s="119"/>
      <c r="B6" s="129"/>
      <c r="C6" s="54" t="s">
        <v>54</v>
      </c>
      <c r="D6" s="35">
        <f>SUM(D4:D5)</f>
        <v>0</v>
      </c>
      <c r="E6" s="39" t="s">
        <v>112</v>
      </c>
      <c r="F6" s="34">
        <f t="shared" ref="F6:AO6" si="8">SUM(F4:F5)</f>
        <v>0</v>
      </c>
      <c r="G6" s="34">
        <f>'Precificação Total Lote 9'!J81</f>
        <v>0</v>
      </c>
      <c r="H6" s="39" t="s">
        <v>112</v>
      </c>
      <c r="I6" s="35">
        <f t="shared" si="8"/>
        <v>244</v>
      </c>
      <c r="J6" s="39" t="s">
        <v>112</v>
      </c>
      <c r="K6" s="34">
        <f t="shared" si="8"/>
        <v>1133795.1462846796</v>
      </c>
      <c r="L6" s="34">
        <f t="shared" si="8"/>
        <v>31746264.095971029</v>
      </c>
      <c r="M6" s="39" t="s">
        <v>112</v>
      </c>
      <c r="N6" s="35">
        <f t="shared" si="8"/>
        <v>27</v>
      </c>
      <c r="O6" s="39" t="s">
        <v>112</v>
      </c>
      <c r="P6" s="34">
        <f t="shared" si="8"/>
        <v>97525.95876766849</v>
      </c>
      <c r="Q6" s="34">
        <f t="shared" si="8"/>
        <v>2730726.8454947174</v>
      </c>
      <c r="R6" s="39" t="s">
        <v>112</v>
      </c>
      <c r="S6" s="35">
        <f t="shared" si="8"/>
        <v>0</v>
      </c>
      <c r="T6" s="39" t="s">
        <v>112</v>
      </c>
      <c r="U6" s="34">
        <f t="shared" si="8"/>
        <v>0</v>
      </c>
      <c r="V6" s="34">
        <f t="shared" si="8"/>
        <v>0</v>
      </c>
      <c r="W6" s="39" t="s">
        <v>112</v>
      </c>
      <c r="X6" s="35">
        <f t="shared" si="8"/>
        <v>53</v>
      </c>
      <c r="Y6" s="39" t="s">
        <v>112</v>
      </c>
      <c r="Z6" s="34">
        <f t="shared" si="8"/>
        <v>406875.69895197632</v>
      </c>
      <c r="AA6" s="34">
        <f t="shared" si="8"/>
        <v>11392519.570655337</v>
      </c>
      <c r="AB6" s="39" t="s">
        <v>112</v>
      </c>
      <c r="AC6" s="35">
        <f t="shared" si="8"/>
        <v>0</v>
      </c>
      <c r="AD6" s="39" t="s">
        <v>112</v>
      </c>
      <c r="AE6" s="34">
        <f t="shared" si="8"/>
        <v>0</v>
      </c>
      <c r="AF6" s="34">
        <f t="shared" si="8"/>
        <v>0</v>
      </c>
      <c r="AG6" s="39" t="s">
        <v>112</v>
      </c>
      <c r="AH6" s="35">
        <f t="shared" si="8"/>
        <v>78</v>
      </c>
      <c r="AI6" s="39" t="s">
        <v>112</v>
      </c>
      <c r="AJ6" s="34">
        <f t="shared" si="8"/>
        <v>331393.52176655584</v>
      </c>
      <c r="AK6" s="34">
        <f t="shared" si="8"/>
        <v>9279018.6094635632</v>
      </c>
      <c r="AL6" s="39" t="s">
        <v>112</v>
      </c>
      <c r="AM6" s="35">
        <f t="shared" si="8"/>
        <v>402</v>
      </c>
      <c r="AN6" s="34">
        <f>AN4+AN5</f>
        <v>1969590.3257708803</v>
      </c>
      <c r="AO6" s="34">
        <f t="shared" si="8"/>
        <v>23635083.909250565</v>
      </c>
      <c r="AP6" s="34">
        <f>AP4+AP5</f>
        <v>55148529.121813357</v>
      </c>
    </row>
    <row r="10" spans="1:42" x14ac:dyDescent="0.15">
      <c r="AK10" s="38"/>
    </row>
    <row r="11" spans="1:42" x14ac:dyDescent="0.15">
      <c r="AK11" s="38"/>
    </row>
  </sheetData>
  <mergeCells count="22">
    <mergeCell ref="AM2:AM3"/>
    <mergeCell ref="AN2:AP2"/>
    <mergeCell ref="AM1:AP1"/>
    <mergeCell ref="I2:M2"/>
    <mergeCell ref="N2:R2"/>
    <mergeCell ref="S2:W2"/>
    <mergeCell ref="X2:AB2"/>
    <mergeCell ref="AC2:AG2"/>
    <mergeCell ref="A1:A3"/>
    <mergeCell ref="A4:A6"/>
    <mergeCell ref="D2:H2"/>
    <mergeCell ref="C1:C3"/>
    <mergeCell ref="D1:AL1"/>
    <mergeCell ref="Y4:Y5"/>
    <mergeCell ref="AD4:AD5"/>
    <mergeCell ref="AI4:AI5"/>
    <mergeCell ref="J4:J5"/>
    <mergeCell ref="B1:B3"/>
    <mergeCell ref="B4:B6"/>
    <mergeCell ref="T4:T5"/>
    <mergeCell ref="O4:O5"/>
    <mergeCell ref="AH2:AL2"/>
  </mergeCells>
  <pageMargins left="0.511811024" right="0.511811024" top="0.78740157499999996" bottom="0.78740157499999996" header="0.31496062000000002" footer="0.31496062000000002"/>
  <pageSetup paperSize="9" orientation="landscape" horizontalDpi="4294967293" verticalDpi="4294967293" r:id="rId1"/>
  <ignoredErrors>
    <ignoredError sqref="F6 L4:L6 Q4:Q6 V4:V6 AA5:AA6 AF4:AF6 AK4:AK6 AM4:AM6 AO4:AO5 AO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Precificação Total Lote 9</vt:lpstr>
      <vt:lpstr>Precificação Lote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Vieira Ribeiro</dc:creator>
  <cp:lastModifiedBy>França</cp:lastModifiedBy>
  <cp:lastPrinted>2021-01-30T21:12:01Z</cp:lastPrinted>
  <dcterms:created xsi:type="dcterms:W3CDTF">2020-08-03T17:19:56Z</dcterms:created>
  <dcterms:modified xsi:type="dcterms:W3CDTF">2021-06-26T15:09:47Z</dcterms:modified>
</cp:coreProperties>
</file>